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200" windowHeight="7305" tabRatio="920"/>
  </bookViews>
  <sheets>
    <sheet name="Eleuterio" sheetId="16" r:id="rId1"/>
    <sheet name="Javier" sheetId="15" r:id="rId2"/>
    <sheet name="Eusebio" sheetId="14" r:id="rId3"/>
    <sheet name="Jimena" sheetId="13" r:id="rId4"/>
    <sheet name="Eugenia" sheetId="12" r:id="rId5"/>
    <sheet name="Jesus" sheetId="10" r:id="rId6"/>
    <sheet name="Eleazar" sheetId="9" r:id="rId7"/>
    <sheet name="Elvira" sheetId="8" r:id="rId8"/>
    <sheet name="Juana" sheetId="7" r:id="rId9"/>
    <sheet name="Enrique" sheetId="6" r:id="rId10"/>
    <sheet name="Jorge" sheetId="5" r:id="rId11"/>
    <sheet name="Ana" sheetId="23" r:id="rId12"/>
    <sheet name="Ema " sheetId="25" r:id="rId13"/>
    <sheet name="Rosa " sheetId="24" r:id="rId14"/>
    <sheet name="Elena" sheetId="4" r:id="rId15"/>
    <sheet name="Juan" sheetId="3" r:id="rId16"/>
    <sheet name="Luis" sheetId="22" r:id="rId17"/>
    <sheet name="Filomeno" sheetId="11" r:id="rId18"/>
    <sheet name="Guadalupe" sheetId="20" r:id="rId19"/>
    <sheet name="Natalia" sheetId="21" r:id="rId20"/>
    <sheet name="Ernesto" sheetId="2" r:id="rId21"/>
    <sheet name="Joaquin" sheetId="1" r:id="rId22"/>
    <sheet name="Tab-2018" sheetId="26" r:id="rId23"/>
    <sheet name="Tarifa-ANUAL" sheetId="19" r:id="rId24"/>
    <sheet name="IMSS" sheetId="18" r:id="rId25"/>
    <sheet name="Resumen" sheetId="17" r:id="rId26"/>
  </sheets>
  <externalReferences>
    <externalReference r:id="rId27"/>
    <externalReference r:id="rId28"/>
    <externalReference r:id="rId29"/>
  </externalReferences>
  <calcPr calcId="152511"/>
</workbook>
</file>

<file path=xl/calcChain.xml><?xml version="1.0" encoding="utf-8"?>
<calcChain xmlns="http://schemas.openxmlformats.org/spreadsheetml/2006/main">
  <c r="F42" i="21" l="1"/>
  <c r="F101" i="11"/>
  <c r="F51" i="11"/>
  <c r="F81" i="22"/>
  <c r="D97" i="22" s="1"/>
  <c r="G97" i="22" s="1"/>
  <c r="F42" i="3"/>
  <c r="F81" i="3"/>
  <c r="F81" i="4"/>
  <c r="F81" i="24"/>
  <c r="D113" i="24" s="1"/>
  <c r="F81" i="25"/>
  <c r="F81" i="23"/>
  <c r="F81" i="5"/>
  <c r="F81" i="6"/>
  <c r="D102" i="6" s="1"/>
  <c r="F82" i="7"/>
  <c r="F42" i="7"/>
  <c r="C2" i="1"/>
  <c r="C2" i="2"/>
  <c r="C42" i="21"/>
  <c r="D50" i="21" s="1"/>
  <c r="G64" i="21"/>
  <c r="G59" i="21"/>
  <c r="E59" i="21"/>
  <c r="D57" i="21"/>
  <c r="G52" i="21"/>
  <c r="E50" i="21"/>
  <c r="F43" i="21"/>
  <c r="C43" i="21" s="1"/>
  <c r="D60" i="21" s="1"/>
  <c r="D74" i="21"/>
  <c r="D55" i="21" s="1"/>
  <c r="D41" i="21"/>
  <c r="C2" i="21"/>
  <c r="C82" i="20"/>
  <c r="C81" i="20"/>
  <c r="D89" i="20" s="1"/>
  <c r="C42" i="20"/>
  <c r="C41" i="20"/>
  <c r="D56" i="20"/>
  <c r="G103" i="20"/>
  <c r="G99" i="20"/>
  <c r="G98" i="20"/>
  <c r="E93" i="20"/>
  <c r="G93" i="20" s="1"/>
  <c r="E90" i="20"/>
  <c r="D113" i="20"/>
  <c r="D94" i="20" s="1"/>
  <c r="D96" i="20"/>
  <c r="G63" i="20"/>
  <c r="G59" i="20"/>
  <c r="G58" i="20"/>
  <c r="E53" i="20"/>
  <c r="G53" i="20" s="1"/>
  <c r="E50" i="20"/>
  <c r="E49" i="20"/>
  <c r="D49" i="20"/>
  <c r="G49" i="20" s="1"/>
  <c r="F42" i="20"/>
  <c r="F41" i="20"/>
  <c r="D73" i="20" s="1"/>
  <c r="D54" i="20" s="1"/>
  <c r="C2" i="20"/>
  <c r="C101" i="11"/>
  <c r="D110" i="11"/>
  <c r="C51" i="11"/>
  <c r="D71" i="11" s="1"/>
  <c r="F123" i="11"/>
  <c r="G123" i="11" s="1"/>
  <c r="D121" i="11"/>
  <c r="G119" i="11"/>
  <c r="E119" i="11"/>
  <c r="G118" i="11"/>
  <c r="E118" i="11"/>
  <c r="D112" i="11"/>
  <c r="G111" i="11"/>
  <c r="D138" i="11"/>
  <c r="D114" i="11" s="1"/>
  <c r="D116" i="11"/>
  <c r="F73" i="11"/>
  <c r="G73" i="11" s="1"/>
  <c r="G69" i="11"/>
  <c r="E69" i="11"/>
  <c r="E68" i="11"/>
  <c r="G68" i="11" s="1"/>
  <c r="D62" i="11"/>
  <c r="G61" i="11"/>
  <c r="D60" i="11"/>
  <c r="D88" i="11"/>
  <c r="D64" i="11" s="1"/>
  <c r="D66" i="11"/>
  <c r="C2" i="11"/>
  <c r="C81" i="22"/>
  <c r="D91" i="22" s="1"/>
  <c r="C41" i="22"/>
  <c r="D52" i="22" s="1"/>
  <c r="G103" i="22"/>
  <c r="E98" i="22"/>
  <c r="G98" i="22" s="1"/>
  <c r="D92" i="22"/>
  <c r="G63" i="22"/>
  <c r="E58" i="22"/>
  <c r="G58" i="22" s="1"/>
  <c r="D57" i="22"/>
  <c r="G57" i="22" s="1"/>
  <c r="D51" i="22"/>
  <c r="D48" i="22"/>
  <c r="F41" i="22"/>
  <c r="D73" i="22" s="1"/>
  <c r="C2" i="22"/>
  <c r="C81" i="3"/>
  <c r="D91" i="3" s="1"/>
  <c r="C42" i="3"/>
  <c r="G103" i="3"/>
  <c r="E96" i="3"/>
  <c r="G96" i="3" s="1"/>
  <c r="D113" i="3"/>
  <c r="G64" i="3"/>
  <c r="E57" i="3"/>
  <c r="G57" i="3" s="1"/>
  <c r="E52" i="3"/>
  <c r="D74" i="3"/>
  <c r="D52" i="3"/>
  <c r="C2" i="3"/>
  <c r="C81" i="4"/>
  <c r="D96" i="4" s="1"/>
  <c r="C41" i="4"/>
  <c r="D49" i="4" s="1"/>
  <c r="G103" i="4"/>
  <c r="D89" i="4"/>
  <c r="D113" i="4"/>
  <c r="G63" i="4"/>
  <c r="F41" i="4"/>
  <c r="D73" i="4" s="1"/>
  <c r="D56" i="4"/>
  <c r="C2" i="4"/>
  <c r="C81" i="24"/>
  <c r="D89" i="24" s="1"/>
  <c r="G103" i="24"/>
  <c r="D96" i="24"/>
  <c r="C41" i="24"/>
  <c r="F41" i="24"/>
  <c r="E49" i="24" s="1"/>
  <c r="D48" i="24"/>
  <c r="G48" i="24" s="1"/>
  <c r="D49" i="24"/>
  <c r="E50" i="24"/>
  <c r="D51" i="24"/>
  <c r="G51" i="24" s="1"/>
  <c r="E51" i="24"/>
  <c r="E53" i="24"/>
  <c r="G53" i="24" s="1"/>
  <c r="D56" i="24"/>
  <c r="E56" i="24" s="1"/>
  <c r="D57" i="24"/>
  <c r="E57" i="24" s="1"/>
  <c r="D62" i="24"/>
  <c r="F62" i="24"/>
  <c r="G62" i="24" s="1"/>
  <c r="G63" i="24"/>
  <c r="D69" i="24"/>
  <c r="D73" i="24"/>
  <c r="C2" i="24"/>
  <c r="C81" i="25"/>
  <c r="D96" i="25" s="1"/>
  <c r="C41" i="25"/>
  <c r="D56" i="25" s="1"/>
  <c r="G103" i="25"/>
  <c r="D89" i="25"/>
  <c r="D113" i="25"/>
  <c r="G63" i="25"/>
  <c r="D49" i="25"/>
  <c r="F41" i="25"/>
  <c r="D73" i="25" s="1"/>
  <c r="C2" i="25"/>
  <c r="C81" i="23"/>
  <c r="D89" i="23" s="1"/>
  <c r="C41" i="23"/>
  <c r="D49" i="23" s="1"/>
  <c r="G103" i="23"/>
  <c r="E93" i="23"/>
  <c r="G93" i="23" s="1"/>
  <c r="E90" i="23"/>
  <c r="D113" i="23"/>
  <c r="D96" i="23"/>
  <c r="G63" i="23"/>
  <c r="E53" i="23"/>
  <c r="G53" i="23" s="1"/>
  <c r="E50" i="23"/>
  <c r="F41" i="23"/>
  <c r="D73" i="23" s="1"/>
  <c r="D56" i="23"/>
  <c r="C2" i="23"/>
  <c r="C81" i="5"/>
  <c r="C41" i="5"/>
  <c r="D56" i="5" s="1"/>
  <c r="D109" i="5"/>
  <c r="G103" i="5"/>
  <c r="D102" i="5"/>
  <c r="D97" i="5"/>
  <c r="E97" i="5" s="1"/>
  <c r="G97" i="5" s="1"/>
  <c r="E93" i="5"/>
  <c r="G93" i="5" s="1"/>
  <c r="D92" i="5"/>
  <c r="E89" i="5"/>
  <c r="D89" i="5"/>
  <c r="F82" i="5"/>
  <c r="D113" i="5"/>
  <c r="D96" i="5"/>
  <c r="G63" i="5"/>
  <c r="D62" i="5"/>
  <c r="E53" i="5"/>
  <c r="G53" i="5" s="1"/>
  <c r="E49" i="5"/>
  <c r="F42" i="5"/>
  <c r="F41" i="5"/>
  <c r="D73" i="5" s="1"/>
  <c r="C2" i="5"/>
  <c r="C81" i="6"/>
  <c r="D90" i="6" s="1"/>
  <c r="C41" i="6"/>
  <c r="D50" i="6" s="1"/>
  <c r="G50" i="6" s="1"/>
  <c r="G103" i="6"/>
  <c r="F103" i="6"/>
  <c r="D99" i="6"/>
  <c r="G99" i="6" s="1"/>
  <c r="D98" i="6"/>
  <c r="G98" i="6" s="1"/>
  <c r="D96" i="6"/>
  <c r="D91" i="6"/>
  <c r="E90" i="6"/>
  <c r="D89" i="6"/>
  <c r="E80" i="6"/>
  <c r="G63" i="6"/>
  <c r="F63" i="6"/>
  <c r="D62" i="6"/>
  <c r="D59" i="6"/>
  <c r="G59" i="6" s="1"/>
  <c r="D58" i="6"/>
  <c r="G58" i="6" s="1"/>
  <c r="E53" i="6"/>
  <c r="G53" i="6" s="1"/>
  <c r="D51" i="6"/>
  <c r="E50" i="6"/>
  <c r="D49" i="6"/>
  <c r="F41" i="6"/>
  <c r="D73" i="6" s="1"/>
  <c r="E54" i="6" s="1"/>
  <c r="E40" i="6"/>
  <c r="C2" i="6"/>
  <c r="C82" i="7"/>
  <c r="C42" i="7"/>
  <c r="D57" i="7" s="1"/>
  <c r="F104" i="7"/>
  <c r="G104" i="7" s="1"/>
  <c r="D100" i="7"/>
  <c r="G100" i="7" s="1"/>
  <c r="D99" i="7"/>
  <c r="G99" i="7" s="1"/>
  <c r="D92" i="7"/>
  <c r="E91" i="7"/>
  <c r="D115" i="7"/>
  <c r="D91" i="7"/>
  <c r="G91" i="7" s="1"/>
  <c r="D81" i="7"/>
  <c r="G64" i="7"/>
  <c r="F64" i="7"/>
  <c r="D63" i="7"/>
  <c r="D60" i="7"/>
  <c r="G60" i="7" s="1"/>
  <c r="D59" i="7"/>
  <c r="G59" i="7" s="1"/>
  <c r="E54" i="7"/>
  <c r="G54" i="7" s="1"/>
  <c r="D52" i="7"/>
  <c r="E51" i="7"/>
  <c r="D75" i="7"/>
  <c r="D51" i="7"/>
  <c r="D41" i="7"/>
  <c r="C2" i="7"/>
  <c r="C41" i="8"/>
  <c r="D56" i="8" s="1"/>
  <c r="G63" i="8"/>
  <c r="F63" i="8"/>
  <c r="D59" i="8"/>
  <c r="G59" i="8" s="1"/>
  <c r="D58" i="8"/>
  <c r="G58" i="8" s="1"/>
  <c r="D51" i="8"/>
  <c r="D49" i="8"/>
  <c r="F41" i="8"/>
  <c r="D73" i="8" s="1"/>
  <c r="D40" i="8"/>
  <c r="C2" i="8"/>
  <c r="C41" i="9"/>
  <c r="D52" i="9" s="1"/>
  <c r="F63" i="9"/>
  <c r="G63" i="9" s="1"/>
  <c r="E59" i="9"/>
  <c r="G59" i="9" s="1"/>
  <c r="G58" i="9"/>
  <c r="E58" i="9"/>
  <c r="D57" i="9"/>
  <c r="E51" i="9"/>
  <c r="D51" i="9"/>
  <c r="G51" i="9" s="1"/>
  <c r="D48" i="9"/>
  <c r="F41" i="9"/>
  <c r="E70" i="9" s="1"/>
  <c r="C2" i="9"/>
  <c r="C41" i="10"/>
  <c r="D51" i="10" s="1"/>
  <c r="G63" i="10"/>
  <c r="G58" i="10"/>
  <c r="E58" i="10"/>
  <c r="D57" i="10"/>
  <c r="F41" i="10"/>
  <c r="E69" i="10" s="1"/>
  <c r="D61" i="10"/>
  <c r="C2" i="10"/>
  <c r="C41" i="12"/>
  <c r="G62" i="12"/>
  <c r="E58" i="12"/>
  <c r="G58" i="12" s="1"/>
  <c r="E57" i="12"/>
  <c r="G57" i="12" s="1"/>
  <c r="D51" i="12"/>
  <c r="E48" i="12"/>
  <c r="F41" i="12"/>
  <c r="E68" i="12" s="1"/>
  <c r="D60" i="12"/>
  <c r="C2" i="12"/>
  <c r="C41" i="13"/>
  <c r="F62" i="13"/>
  <c r="G62" i="13" s="1"/>
  <c r="E58" i="13"/>
  <c r="G58" i="13" s="1"/>
  <c r="D57" i="13"/>
  <c r="E57" i="13" s="1"/>
  <c r="G57" i="13" s="1"/>
  <c r="E50" i="13"/>
  <c r="D50" i="13"/>
  <c r="G50" i="13" s="1"/>
  <c r="E48" i="13"/>
  <c r="F41" i="13"/>
  <c r="E68" i="13" s="1"/>
  <c r="D47" i="13"/>
  <c r="D40" i="13"/>
  <c r="C2" i="13"/>
  <c r="C41" i="14"/>
  <c r="F62" i="14"/>
  <c r="G62" i="14" s="1"/>
  <c r="E58" i="14"/>
  <c r="G58" i="14" s="1"/>
  <c r="D57" i="14"/>
  <c r="E57" i="14" s="1"/>
  <c r="G57" i="14" s="1"/>
  <c r="E50" i="14"/>
  <c r="G50" i="14" s="1"/>
  <c r="D50" i="14"/>
  <c r="F41" i="14"/>
  <c r="E68" i="14" s="1"/>
  <c r="D47" i="14"/>
  <c r="D40" i="14"/>
  <c r="C2" i="14"/>
  <c r="B41" i="15"/>
  <c r="F62" i="15"/>
  <c r="C58" i="15"/>
  <c r="F58" i="15" s="1"/>
  <c r="C57" i="15"/>
  <c r="F57" i="15" s="1"/>
  <c r="C51" i="15"/>
  <c r="D50" i="15"/>
  <c r="F50" i="15" s="1"/>
  <c r="C50" i="15"/>
  <c r="D48" i="15"/>
  <c r="E41" i="15"/>
  <c r="D68" i="15" s="1"/>
  <c r="C60" i="15"/>
  <c r="C41" i="16"/>
  <c r="E68" i="16"/>
  <c r="F62" i="16"/>
  <c r="G62" i="16" s="1"/>
  <c r="D61" i="16"/>
  <c r="G60" i="16"/>
  <c r="F60" i="16"/>
  <c r="E56" i="16"/>
  <c r="G56" i="16" s="1"/>
  <c r="D56" i="16"/>
  <c r="E55" i="16"/>
  <c r="G55" i="16" s="1"/>
  <c r="G53" i="16"/>
  <c r="G52" i="16"/>
  <c r="E52" i="16"/>
  <c r="D52" i="16"/>
  <c r="E51" i="16"/>
  <c r="G51" i="16" s="1"/>
  <c r="D51" i="16"/>
  <c r="F42" i="16"/>
  <c r="D48" i="16"/>
  <c r="B2" i="15"/>
  <c r="C2" i="16"/>
  <c r="P50" i="26"/>
  <c r="P49" i="26"/>
  <c r="P48" i="26"/>
  <c r="P47" i="26"/>
  <c r="P46" i="26"/>
  <c r="P45" i="26"/>
  <c r="P44" i="26"/>
  <c r="P43" i="26"/>
  <c r="P42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P5" i="26"/>
  <c r="P4" i="26"/>
  <c r="P3" i="26"/>
  <c r="P2" i="26"/>
  <c r="F3" i="26"/>
  <c r="F4" i="26" s="1"/>
  <c r="F5" i="26" s="1"/>
  <c r="F6" i="26" s="1"/>
  <c r="F7" i="26" s="1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D113" i="22" l="1"/>
  <c r="D113" i="6"/>
  <c r="E94" i="6" s="1"/>
  <c r="E93" i="6"/>
  <c r="G93" i="6" s="1"/>
  <c r="G50" i="21"/>
  <c r="G52" i="3"/>
  <c r="G89" i="5"/>
  <c r="E60" i="21"/>
  <c r="G60" i="21" s="1"/>
  <c r="E55" i="21"/>
  <c r="G55" i="21" s="1"/>
  <c r="D49" i="21"/>
  <c r="E54" i="21"/>
  <c r="G54" i="21" s="1"/>
  <c r="E57" i="21"/>
  <c r="G57" i="21" s="1"/>
  <c r="D63" i="21"/>
  <c r="D51" i="21"/>
  <c r="D53" i="21"/>
  <c r="D62" i="21"/>
  <c r="E65" i="21"/>
  <c r="D70" i="21"/>
  <c r="E51" i="21"/>
  <c r="E53" i="21"/>
  <c r="D58" i="21"/>
  <c r="E94" i="20"/>
  <c r="G94" i="20"/>
  <c r="E96" i="20"/>
  <c r="G96" i="20" s="1"/>
  <c r="F82" i="20"/>
  <c r="E89" i="20"/>
  <c r="D92" i="20"/>
  <c r="D102" i="20"/>
  <c r="D88" i="20"/>
  <c r="D91" i="20"/>
  <c r="E92" i="20"/>
  <c r="D97" i="20"/>
  <c r="D101" i="20"/>
  <c r="E104" i="20"/>
  <c r="D109" i="20"/>
  <c r="D90" i="20"/>
  <c r="E91" i="20"/>
  <c r="E56" i="20"/>
  <c r="G56" i="20" s="1"/>
  <c r="E54" i="20"/>
  <c r="G54" i="20" s="1"/>
  <c r="D52" i="20"/>
  <c r="D62" i="20"/>
  <c r="D48" i="20"/>
  <c r="D51" i="20"/>
  <c r="E52" i="20"/>
  <c r="D57" i="20"/>
  <c r="D61" i="20"/>
  <c r="E64" i="20"/>
  <c r="D69" i="20"/>
  <c r="E57" i="20" s="1"/>
  <c r="D50" i="20"/>
  <c r="E51" i="20"/>
  <c r="E116" i="11"/>
  <c r="G116" i="11" s="1"/>
  <c r="G114" i="11"/>
  <c r="E114" i="11"/>
  <c r="C102" i="11"/>
  <c r="D109" i="11"/>
  <c r="E110" i="11"/>
  <c r="G110" i="11" s="1"/>
  <c r="E112" i="11"/>
  <c r="G112" i="11" s="1"/>
  <c r="F121" i="11"/>
  <c r="E129" i="11"/>
  <c r="F102" i="11"/>
  <c r="E109" i="11"/>
  <c r="D117" i="11"/>
  <c r="D134" i="11"/>
  <c r="E117" i="11" s="1"/>
  <c r="D108" i="11"/>
  <c r="E113" i="11"/>
  <c r="G113" i="11" s="1"/>
  <c r="D122" i="11"/>
  <c r="E66" i="11"/>
  <c r="G66" i="11" s="1"/>
  <c r="G62" i="11"/>
  <c r="E64" i="11"/>
  <c r="G64" i="11" s="1"/>
  <c r="C52" i="11"/>
  <c r="D59" i="11"/>
  <c r="E60" i="11"/>
  <c r="G60" i="11" s="1"/>
  <c r="E62" i="11"/>
  <c r="F71" i="11"/>
  <c r="E79" i="11"/>
  <c r="F52" i="11"/>
  <c r="E59" i="11"/>
  <c r="D67" i="11"/>
  <c r="D84" i="11"/>
  <c r="E67" i="11" s="1"/>
  <c r="D58" i="11"/>
  <c r="E63" i="11"/>
  <c r="G63" i="11" s="1"/>
  <c r="D72" i="11"/>
  <c r="D88" i="22"/>
  <c r="G88" i="22" s="1"/>
  <c r="E92" i="22"/>
  <c r="G92" i="22" s="1"/>
  <c r="D90" i="22"/>
  <c r="E91" i="22"/>
  <c r="G91" i="22" s="1"/>
  <c r="D96" i="22"/>
  <c r="D102" i="22"/>
  <c r="D89" i="22"/>
  <c r="E90" i="22"/>
  <c r="E93" i="22"/>
  <c r="G93" i="22" s="1"/>
  <c r="E96" i="22"/>
  <c r="D101" i="22"/>
  <c r="D109" i="22"/>
  <c r="E89" i="22"/>
  <c r="E52" i="22"/>
  <c r="G52" i="22" s="1"/>
  <c r="G48" i="22"/>
  <c r="D50" i="22"/>
  <c r="E51" i="22"/>
  <c r="G51" i="22" s="1"/>
  <c r="D56" i="22"/>
  <c r="D62" i="22"/>
  <c r="D49" i="22"/>
  <c r="D64" i="22" s="1"/>
  <c r="E50" i="22"/>
  <c r="E53" i="22"/>
  <c r="G53" i="22" s="1"/>
  <c r="E56" i="22"/>
  <c r="D61" i="22"/>
  <c r="D69" i="22"/>
  <c r="E49" i="22"/>
  <c r="D55" i="22"/>
  <c r="G55" i="22" s="1"/>
  <c r="D90" i="3"/>
  <c r="E91" i="3"/>
  <c r="G91" i="3" s="1"/>
  <c r="D89" i="3"/>
  <c r="E90" i="3"/>
  <c r="E93" i="3"/>
  <c r="G93" i="3" s="1"/>
  <c r="D102" i="3"/>
  <c r="C82" i="3"/>
  <c r="E89" i="3"/>
  <c r="D92" i="3"/>
  <c r="D97" i="3"/>
  <c r="D101" i="3"/>
  <c r="E104" i="3"/>
  <c r="D109" i="3"/>
  <c r="D88" i="3"/>
  <c r="E97" i="3"/>
  <c r="D50" i="3"/>
  <c r="E51" i="3"/>
  <c r="E54" i="3"/>
  <c r="G54" i="3" s="1"/>
  <c r="D63" i="3"/>
  <c r="D51" i="3"/>
  <c r="C43" i="3" s="1"/>
  <c r="E50" i="3"/>
  <c r="D53" i="3"/>
  <c r="D58" i="3"/>
  <c r="D62" i="3"/>
  <c r="E65" i="3"/>
  <c r="D70" i="3"/>
  <c r="D49" i="3"/>
  <c r="E58" i="3"/>
  <c r="E96" i="4"/>
  <c r="G96" i="4"/>
  <c r="E93" i="4"/>
  <c r="G93" i="4" s="1"/>
  <c r="E89" i="4"/>
  <c r="G89" i="4" s="1"/>
  <c r="D92" i="4"/>
  <c r="D102" i="4"/>
  <c r="D88" i="4"/>
  <c r="D91" i="4"/>
  <c r="D97" i="4"/>
  <c r="D101" i="4"/>
  <c r="D109" i="4"/>
  <c r="D90" i="4"/>
  <c r="E91" i="4"/>
  <c r="E56" i="4"/>
  <c r="G56" i="4"/>
  <c r="C42" i="4"/>
  <c r="E49" i="4"/>
  <c r="D52" i="4"/>
  <c r="D62" i="4"/>
  <c r="E53" i="4"/>
  <c r="G53" i="4" s="1"/>
  <c r="D48" i="4"/>
  <c r="D51" i="4"/>
  <c r="D57" i="4"/>
  <c r="D61" i="4"/>
  <c r="E64" i="4"/>
  <c r="D69" i="4"/>
  <c r="D50" i="4"/>
  <c r="E51" i="4"/>
  <c r="E96" i="24"/>
  <c r="G96" i="24" s="1"/>
  <c r="E90" i="24"/>
  <c r="E93" i="24"/>
  <c r="G93" i="24" s="1"/>
  <c r="E89" i="24"/>
  <c r="E104" i="24" s="1"/>
  <c r="D92" i="24"/>
  <c r="D102" i="24"/>
  <c r="D88" i="24"/>
  <c r="D91" i="24"/>
  <c r="D97" i="24"/>
  <c r="D101" i="24"/>
  <c r="D109" i="24"/>
  <c r="D90" i="24"/>
  <c r="E91" i="24"/>
  <c r="D61" i="24"/>
  <c r="F61" i="24" s="1"/>
  <c r="F66" i="24" s="1"/>
  <c r="D50" i="24"/>
  <c r="G50" i="24" s="1"/>
  <c r="G49" i="24"/>
  <c r="E64" i="24"/>
  <c r="G56" i="24"/>
  <c r="D52" i="24"/>
  <c r="G57" i="24"/>
  <c r="D60" i="24"/>
  <c r="D52" i="25"/>
  <c r="E96" i="25"/>
  <c r="G96" i="25" s="1"/>
  <c r="E90" i="25"/>
  <c r="E93" i="25"/>
  <c r="G93" i="25" s="1"/>
  <c r="E89" i="25"/>
  <c r="E104" i="25" s="1"/>
  <c r="D92" i="25"/>
  <c r="D102" i="25"/>
  <c r="D88" i="25"/>
  <c r="D91" i="25"/>
  <c r="D97" i="25"/>
  <c r="D101" i="25"/>
  <c r="D109" i="25"/>
  <c r="D90" i="25"/>
  <c r="E91" i="25"/>
  <c r="E56" i="25"/>
  <c r="G56" i="25" s="1"/>
  <c r="E50" i="25"/>
  <c r="D48" i="25"/>
  <c r="D51" i="25"/>
  <c r="G51" i="25" s="1"/>
  <c r="E52" i="25"/>
  <c r="G52" i="25" s="1"/>
  <c r="D57" i="25"/>
  <c r="D61" i="25"/>
  <c r="E64" i="25"/>
  <c r="D69" i="25"/>
  <c r="E53" i="25"/>
  <c r="G53" i="25" s="1"/>
  <c r="E49" i="25"/>
  <c r="G49" i="25" s="1"/>
  <c r="D62" i="25"/>
  <c r="D50" i="25"/>
  <c r="G50" i="25" s="1"/>
  <c r="E51" i="25"/>
  <c r="E96" i="23"/>
  <c r="G96" i="23" s="1"/>
  <c r="F82" i="23"/>
  <c r="E89" i="23"/>
  <c r="E104" i="23" s="1"/>
  <c r="D92" i="23"/>
  <c r="D102" i="23"/>
  <c r="D88" i="23"/>
  <c r="D91" i="23"/>
  <c r="D97" i="23"/>
  <c r="D101" i="23"/>
  <c r="D109" i="23"/>
  <c r="D90" i="23"/>
  <c r="E91" i="23"/>
  <c r="E56" i="23"/>
  <c r="G56" i="23" s="1"/>
  <c r="F42" i="23"/>
  <c r="E49" i="23"/>
  <c r="D52" i="23"/>
  <c r="D62" i="23"/>
  <c r="D48" i="23"/>
  <c r="D51" i="23"/>
  <c r="D57" i="23"/>
  <c r="D61" i="23"/>
  <c r="E64" i="23"/>
  <c r="D69" i="23"/>
  <c r="D50" i="23"/>
  <c r="G50" i="23" s="1"/>
  <c r="E51" i="23"/>
  <c r="E96" i="5"/>
  <c r="G96" i="5" s="1"/>
  <c r="D88" i="5"/>
  <c r="D91" i="5"/>
  <c r="E92" i="5"/>
  <c r="G92" i="5" s="1"/>
  <c r="D101" i="5"/>
  <c r="F102" i="5"/>
  <c r="G102" i="5" s="1"/>
  <c r="E104" i="5"/>
  <c r="D90" i="5"/>
  <c r="E91" i="5"/>
  <c r="E56" i="5"/>
  <c r="G56" i="5" s="1"/>
  <c r="D48" i="5"/>
  <c r="D51" i="5"/>
  <c r="G51" i="5" s="1"/>
  <c r="D57" i="5"/>
  <c r="D61" i="5"/>
  <c r="F62" i="5"/>
  <c r="G62" i="5" s="1"/>
  <c r="E64" i="5"/>
  <c r="D69" i="5"/>
  <c r="D49" i="5"/>
  <c r="G49" i="5" s="1"/>
  <c r="D52" i="5"/>
  <c r="D50" i="5"/>
  <c r="E51" i="5"/>
  <c r="D56" i="6"/>
  <c r="G90" i="6"/>
  <c r="F82" i="6"/>
  <c r="E89" i="6"/>
  <c r="G89" i="6" s="1"/>
  <c r="D92" i="6"/>
  <c r="E96" i="6"/>
  <c r="G96" i="6" s="1"/>
  <c r="D101" i="6"/>
  <c r="F102" i="6"/>
  <c r="G102" i="6" s="1"/>
  <c r="D88" i="6"/>
  <c r="D109" i="6"/>
  <c r="E97" i="6" s="1"/>
  <c r="E91" i="6"/>
  <c r="G91" i="6" s="1"/>
  <c r="D97" i="6"/>
  <c r="G49" i="6"/>
  <c r="F42" i="6"/>
  <c r="E49" i="6"/>
  <c r="D52" i="6"/>
  <c r="E56" i="6"/>
  <c r="G56" i="6" s="1"/>
  <c r="D61" i="6"/>
  <c r="F62" i="6"/>
  <c r="G62" i="6" s="1"/>
  <c r="C42" i="6"/>
  <c r="D48" i="6"/>
  <c r="E64" i="6"/>
  <c r="D69" i="6"/>
  <c r="E57" i="6" s="1"/>
  <c r="E51" i="6"/>
  <c r="G51" i="6" s="1"/>
  <c r="D57" i="6"/>
  <c r="G57" i="6" s="1"/>
  <c r="D50" i="7"/>
  <c r="C43" i="7" s="1"/>
  <c r="D90" i="7"/>
  <c r="E94" i="7"/>
  <c r="G94" i="7" s="1"/>
  <c r="D97" i="7"/>
  <c r="D103" i="7"/>
  <c r="F83" i="7"/>
  <c r="E90" i="7"/>
  <c r="D93" i="7"/>
  <c r="D102" i="7"/>
  <c r="D89" i="7"/>
  <c r="E105" i="7"/>
  <c r="D111" i="7"/>
  <c r="E92" i="7"/>
  <c r="G92" i="7" s="1"/>
  <c r="D98" i="7"/>
  <c r="G51" i="7"/>
  <c r="F43" i="7"/>
  <c r="E50" i="7"/>
  <c r="G50" i="7" s="1"/>
  <c r="D53" i="7"/>
  <c r="E57" i="7"/>
  <c r="G57" i="7" s="1"/>
  <c r="D62" i="7"/>
  <c r="F63" i="7"/>
  <c r="G63" i="7" s="1"/>
  <c r="D49" i="7"/>
  <c r="D71" i="7"/>
  <c r="E52" i="7"/>
  <c r="G52" i="7" s="1"/>
  <c r="D58" i="7"/>
  <c r="D50" i="8"/>
  <c r="G50" i="8" s="1"/>
  <c r="E50" i="8"/>
  <c r="G56" i="8"/>
  <c r="E53" i="8"/>
  <c r="G53" i="8" s="1"/>
  <c r="D62" i="8"/>
  <c r="C42" i="8"/>
  <c r="E49" i="8"/>
  <c r="D52" i="8"/>
  <c r="E56" i="8"/>
  <c r="D61" i="8"/>
  <c r="D48" i="8"/>
  <c r="D69" i="8"/>
  <c r="E51" i="8"/>
  <c r="G51" i="8" s="1"/>
  <c r="D57" i="8"/>
  <c r="E52" i="9"/>
  <c r="G52" i="9"/>
  <c r="G57" i="9"/>
  <c r="G48" i="9"/>
  <c r="D50" i="9"/>
  <c r="E54" i="9"/>
  <c r="D56" i="9"/>
  <c r="E57" i="9"/>
  <c r="D62" i="9"/>
  <c r="D65" i="9"/>
  <c r="G65" i="9" s="1"/>
  <c r="D49" i="9"/>
  <c r="E53" i="9"/>
  <c r="G53" i="9" s="1"/>
  <c r="D61" i="9"/>
  <c r="D64" i="9"/>
  <c r="E49" i="9"/>
  <c r="D55" i="9"/>
  <c r="G55" i="9" s="1"/>
  <c r="D60" i="9"/>
  <c r="D48" i="10"/>
  <c r="G61" i="10"/>
  <c r="F61" i="10"/>
  <c r="G48" i="10"/>
  <c r="D50" i="10"/>
  <c r="E51" i="10"/>
  <c r="G51" i="10" s="1"/>
  <c r="D56" i="10"/>
  <c r="E57" i="10"/>
  <c r="G57" i="10" s="1"/>
  <c r="D59" i="10"/>
  <c r="D49" i="10"/>
  <c r="G49" i="10" s="1"/>
  <c r="E53" i="10"/>
  <c r="G53" i="10" s="1"/>
  <c r="D62" i="10"/>
  <c r="C42" i="10"/>
  <c r="E49" i="10"/>
  <c r="D52" i="10"/>
  <c r="E64" i="10"/>
  <c r="F60" i="12"/>
  <c r="D47" i="12"/>
  <c r="D50" i="12"/>
  <c r="E51" i="12"/>
  <c r="G51" i="12" s="1"/>
  <c r="D56" i="12"/>
  <c r="D49" i="12"/>
  <c r="E50" i="12"/>
  <c r="D55" i="12"/>
  <c r="D61" i="12"/>
  <c r="D48" i="12"/>
  <c r="E52" i="12"/>
  <c r="G52" i="12" s="1"/>
  <c r="E63" i="12"/>
  <c r="G47" i="13"/>
  <c r="D48" i="13"/>
  <c r="G48" i="13" s="1"/>
  <c r="E52" i="13"/>
  <c r="G52" i="13" s="1"/>
  <c r="D61" i="13"/>
  <c r="D49" i="13"/>
  <c r="E53" i="13" s="1"/>
  <c r="D55" i="13"/>
  <c r="D51" i="13"/>
  <c r="D60" i="13"/>
  <c r="D56" i="13"/>
  <c r="E63" i="13"/>
  <c r="D63" i="14"/>
  <c r="G47" i="14"/>
  <c r="D49" i="14"/>
  <c r="D64" i="14" s="1"/>
  <c r="G64" i="14" s="1"/>
  <c r="D55" i="14"/>
  <c r="E52" i="14"/>
  <c r="G52" i="14" s="1"/>
  <c r="D61" i="14"/>
  <c r="E48" i="14"/>
  <c r="D51" i="14"/>
  <c r="D60" i="14"/>
  <c r="D48" i="14"/>
  <c r="D59" i="14" s="1"/>
  <c r="D56" i="14"/>
  <c r="E63" i="14"/>
  <c r="E60" i="15"/>
  <c r="C54" i="15"/>
  <c r="C47" i="15"/>
  <c r="D51" i="15"/>
  <c r="F51" i="15" s="1"/>
  <c r="C49" i="15"/>
  <c r="C61" i="15"/>
  <c r="C48" i="15"/>
  <c r="D52" i="15"/>
  <c r="F52" i="15" s="1"/>
  <c r="C55" i="15"/>
  <c r="D63" i="15"/>
  <c r="G48" i="16"/>
  <c r="D50" i="16"/>
  <c r="D49" i="16"/>
  <c r="D54" i="16" s="1"/>
  <c r="F61" i="16"/>
  <c r="F66" i="16" s="1"/>
  <c r="D13" i="20"/>
  <c r="D12" i="20"/>
  <c r="D17" i="20"/>
  <c r="E17" i="20"/>
  <c r="F24" i="11"/>
  <c r="D17" i="11"/>
  <c r="D13" i="11"/>
  <c r="D11" i="11"/>
  <c r="D26" i="11" s="1"/>
  <c r="G26" i="11" s="1"/>
  <c r="F3" i="20"/>
  <c r="D13" i="21"/>
  <c r="D1" i="21"/>
  <c r="F24" i="2"/>
  <c r="D18" i="2"/>
  <c r="E13" i="2"/>
  <c r="D1" i="2"/>
  <c r="D17" i="2"/>
  <c r="E17" i="2" s="1"/>
  <c r="F24" i="1"/>
  <c r="E17" i="1"/>
  <c r="D11" i="1"/>
  <c r="D11" i="5"/>
  <c r="F24" i="6"/>
  <c r="E11" i="7"/>
  <c r="D19" i="6"/>
  <c r="D20" i="6" s="1"/>
  <c r="D12" i="6"/>
  <c r="F3" i="6"/>
  <c r="E1" i="6"/>
  <c r="D10" i="6"/>
  <c r="F24" i="7"/>
  <c r="D20" i="7"/>
  <c r="D19" i="7"/>
  <c r="D18" i="7"/>
  <c r="D12" i="7"/>
  <c r="D17" i="7"/>
  <c r="E17" i="7" s="1"/>
  <c r="D1" i="7"/>
  <c r="F24" i="8"/>
  <c r="D12" i="8"/>
  <c r="D20" i="8"/>
  <c r="D19" i="8"/>
  <c r="D1" i="8"/>
  <c r="D9" i="8"/>
  <c r="F24" i="9"/>
  <c r="D12" i="9"/>
  <c r="D11" i="9"/>
  <c r="C3" i="12"/>
  <c r="D20" i="10"/>
  <c r="D18" i="10"/>
  <c r="D12" i="10"/>
  <c r="D11" i="10"/>
  <c r="C3" i="10" s="1"/>
  <c r="D11" i="12"/>
  <c r="D17" i="12"/>
  <c r="D10" i="12"/>
  <c r="F23" i="13"/>
  <c r="D11" i="13"/>
  <c r="D18" i="13"/>
  <c r="E18" i="13" s="1"/>
  <c r="G18" i="13" s="1"/>
  <c r="D8" i="13"/>
  <c r="D1" i="13"/>
  <c r="F23" i="14"/>
  <c r="D18" i="14"/>
  <c r="E18" i="14" s="1"/>
  <c r="G18" i="14" s="1"/>
  <c r="D11" i="14"/>
  <c r="D12" i="14"/>
  <c r="E12" i="14" s="1"/>
  <c r="G12" i="14" s="1"/>
  <c r="D1" i="14"/>
  <c r="C19" i="15"/>
  <c r="C18" i="15"/>
  <c r="C11" i="15"/>
  <c r="C10" i="15"/>
  <c r="D10" i="15" s="1"/>
  <c r="D9" i="1"/>
  <c r="G9" i="1" s="1"/>
  <c r="D9" i="2"/>
  <c r="G9" i="2" s="1"/>
  <c r="D9" i="21"/>
  <c r="G9" i="21" s="1"/>
  <c r="D9" i="20"/>
  <c r="G9" i="20" s="1"/>
  <c r="D9" i="11"/>
  <c r="D21" i="11" s="1"/>
  <c r="E21" i="11" s="1"/>
  <c r="G21" i="11" s="1"/>
  <c r="D9" i="22"/>
  <c r="D16" i="22" s="1"/>
  <c r="G16" i="22" s="1"/>
  <c r="D9" i="3"/>
  <c r="D25" i="3" s="1"/>
  <c r="D9" i="4"/>
  <c r="D9" i="24"/>
  <c r="D9" i="25"/>
  <c r="D9" i="23"/>
  <c r="D9" i="5"/>
  <c r="G9" i="5" s="1"/>
  <c r="D9" i="7"/>
  <c r="G9" i="7" s="1"/>
  <c r="D9" i="9"/>
  <c r="D9" i="10"/>
  <c r="G9" i="10" s="1"/>
  <c r="D8" i="12"/>
  <c r="D15" i="12" s="1"/>
  <c r="G15" i="12" s="1"/>
  <c r="D8" i="14"/>
  <c r="C8" i="15"/>
  <c r="D9" i="16"/>
  <c r="F2" i="1"/>
  <c r="F3" i="1" s="1"/>
  <c r="C3" i="1" s="1"/>
  <c r="F2" i="2"/>
  <c r="D23" i="2" s="1"/>
  <c r="F2" i="21"/>
  <c r="D34" i="21" s="1"/>
  <c r="D15" i="21" s="1"/>
  <c r="E15" i="21" s="1"/>
  <c r="F2" i="20"/>
  <c r="D30" i="20" s="1"/>
  <c r="F2" i="11"/>
  <c r="E11" i="11" s="1"/>
  <c r="F2" i="22"/>
  <c r="D30" i="22" s="1"/>
  <c r="F2" i="3"/>
  <c r="D34" i="3" s="1"/>
  <c r="F2" i="4"/>
  <c r="D30" i="4" s="1"/>
  <c r="F2" i="24"/>
  <c r="F2" i="25"/>
  <c r="D30" i="25" s="1"/>
  <c r="F2" i="23"/>
  <c r="F3" i="23" s="1"/>
  <c r="F2" i="5"/>
  <c r="D30" i="5" s="1"/>
  <c r="F2" i="6"/>
  <c r="D18" i="6" s="1"/>
  <c r="F2" i="7"/>
  <c r="F3" i="7" s="1"/>
  <c r="F2" i="8"/>
  <c r="D34" i="8" s="1"/>
  <c r="F2" i="9"/>
  <c r="D18" i="9" s="1"/>
  <c r="E18" i="9" s="1"/>
  <c r="G18" i="9" s="1"/>
  <c r="F2" i="10"/>
  <c r="F2" i="12"/>
  <c r="E11" i="12" s="1"/>
  <c r="G11" i="12" s="1"/>
  <c r="F2" i="13"/>
  <c r="D17" i="13" s="1"/>
  <c r="E17" i="13" s="1"/>
  <c r="G17" i="13" s="1"/>
  <c r="F2" i="14"/>
  <c r="D17" i="14" s="1"/>
  <c r="E17" i="14" s="1"/>
  <c r="E2" i="15"/>
  <c r="C16" i="15" s="1"/>
  <c r="F23" i="16"/>
  <c r="E11" i="23"/>
  <c r="E13" i="12"/>
  <c r="D12" i="16"/>
  <c r="D18" i="16" s="1"/>
  <c r="E18" i="16" s="1"/>
  <c r="G18" i="16" s="1"/>
  <c r="D10" i="16"/>
  <c r="D11" i="16"/>
  <c r="D10" i="5"/>
  <c r="D12" i="5"/>
  <c r="D13" i="5"/>
  <c r="E13" i="5" s="1"/>
  <c r="G13" i="5" s="1"/>
  <c r="D10" i="4"/>
  <c r="D11" i="4"/>
  <c r="D12" i="4"/>
  <c r="D10" i="3"/>
  <c r="D11" i="3"/>
  <c r="D13" i="16"/>
  <c r="E13" i="16" s="1"/>
  <c r="G13" i="16" s="1"/>
  <c r="G9" i="16"/>
  <c r="D17" i="16"/>
  <c r="E17" i="16" s="1"/>
  <c r="D22" i="16"/>
  <c r="C22" i="15"/>
  <c r="E22" i="15" s="1"/>
  <c r="D22" i="14"/>
  <c r="D22" i="13"/>
  <c r="F22" i="13" s="1"/>
  <c r="E17" i="12"/>
  <c r="D23" i="10"/>
  <c r="D23" i="9"/>
  <c r="D23" i="8"/>
  <c r="D23" i="6"/>
  <c r="F23" i="6" s="1"/>
  <c r="D17" i="5"/>
  <c r="D22" i="5"/>
  <c r="F22" i="5" s="1"/>
  <c r="G22" i="5" s="1"/>
  <c r="D18" i="5"/>
  <c r="D23" i="5"/>
  <c r="F23" i="5" s="1"/>
  <c r="D13" i="4"/>
  <c r="E13" i="4" s="1"/>
  <c r="G13" i="4" s="1"/>
  <c r="D17" i="4"/>
  <c r="D22" i="4"/>
  <c r="F22" i="4" s="1"/>
  <c r="D18" i="4"/>
  <c r="E18" i="4" s="1"/>
  <c r="G18" i="4" s="1"/>
  <c r="D23" i="4"/>
  <c r="D13" i="3"/>
  <c r="E13" i="3" s="1"/>
  <c r="G13" i="3" s="1"/>
  <c r="D22" i="3"/>
  <c r="D18" i="3"/>
  <c r="D23" i="3"/>
  <c r="D18" i="22"/>
  <c r="D23" i="22"/>
  <c r="D23" i="20"/>
  <c r="F23" i="20" s="1"/>
  <c r="G23" i="20" s="1"/>
  <c r="D23" i="21"/>
  <c r="E10" i="6"/>
  <c r="E14" i="6"/>
  <c r="G14" i="6" s="1"/>
  <c r="G24" i="6"/>
  <c r="E10" i="5"/>
  <c r="E25" i="5" s="1"/>
  <c r="E12" i="5"/>
  <c r="G12" i="5" s="1"/>
  <c r="E17" i="5"/>
  <c r="G17" i="5" s="1"/>
  <c r="E14" i="5"/>
  <c r="G14" i="5" s="1"/>
  <c r="E18" i="5"/>
  <c r="G18" i="5" s="1"/>
  <c r="G24" i="5"/>
  <c r="G9" i="4"/>
  <c r="E10" i="4"/>
  <c r="G10" i="4" s="1"/>
  <c r="E12" i="4"/>
  <c r="E17" i="4"/>
  <c r="G17" i="4" s="1"/>
  <c r="E14" i="4"/>
  <c r="G14" i="4" s="1"/>
  <c r="F23" i="4"/>
  <c r="G23" i="4" s="1"/>
  <c r="G24" i="4"/>
  <c r="E10" i="3"/>
  <c r="E11" i="3"/>
  <c r="E12" i="3"/>
  <c r="G12" i="3" s="1"/>
  <c r="E14" i="3"/>
  <c r="G14" i="3" s="1"/>
  <c r="F23" i="3"/>
  <c r="G23" i="3" s="1"/>
  <c r="G24" i="3"/>
  <c r="E12" i="16"/>
  <c r="G12" i="16" s="1"/>
  <c r="F22" i="16"/>
  <c r="G22" i="16" s="1"/>
  <c r="E10" i="16"/>
  <c r="G10" i="16" s="1"/>
  <c r="E11" i="16"/>
  <c r="G11" i="16" s="1"/>
  <c r="D9" i="15"/>
  <c r="F23" i="15"/>
  <c r="E9" i="14"/>
  <c r="E11" i="14"/>
  <c r="E13" i="14"/>
  <c r="G13" i="14" s="1"/>
  <c r="F22" i="14"/>
  <c r="G22" i="14" s="1"/>
  <c r="E24" i="14"/>
  <c r="G23" i="14"/>
  <c r="E9" i="13"/>
  <c r="E11" i="13"/>
  <c r="E13" i="13"/>
  <c r="G13" i="13" s="1"/>
  <c r="E24" i="13"/>
  <c r="G23" i="13"/>
  <c r="G13" i="12"/>
  <c r="G24" i="11"/>
  <c r="E10" i="10"/>
  <c r="E25" i="10" s="1"/>
  <c r="G24" i="10"/>
  <c r="E10" i="9"/>
  <c r="E12" i="9"/>
  <c r="G12" i="9" s="1"/>
  <c r="E14" i="9"/>
  <c r="G14" i="9" s="1"/>
  <c r="F23" i="9"/>
  <c r="G23" i="9" s="1"/>
  <c r="E25" i="9"/>
  <c r="G24" i="9"/>
  <c r="E10" i="8"/>
  <c r="E14" i="8"/>
  <c r="G14" i="8" s="1"/>
  <c r="F23" i="8"/>
  <c r="E25" i="8"/>
  <c r="G24" i="8"/>
  <c r="E10" i="7"/>
  <c r="E25" i="7" s="1"/>
  <c r="E14" i="7"/>
  <c r="G14" i="7" s="1"/>
  <c r="G24" i="7"/>
  <c r="E12" i="23"/>
  <c r="G24" i="23"/>
  <c r="E10" i="22"/>
  <c r="E25" i="22" s="1"/>
  <c r="E11" i="22"/>
  <c r="E12" i="22"/>
  <c r="E14" i="22"/>
  <c r="G14" i="22" s="1"/>
  <c r="E17" i="22"/>
  <c r="G18" i="22"/>
  <c r="F23" i="22"/>
  <c r="E10" i="20"/>
  <c r="E25" i="20" s="1"/>
  <c r="E11" i="20"/>
  <c r="E14" i="20"/>
  <c r="G14" i="20"/>
  <c r="E10" i="21"/>
  <c r="E25" i="21" s="1"/>
  <c r="E11" i="21"/>
  <c r="E14" i="21"/>
  <c r="G14" i="21" s="1"/>
  <c r="E17" i="21"/>
  <c r="F23" i="21"/>
  <c r="G23" i="21" s="1"/>
  <c r="H3" i="18"/>
  <c r="E49" i="18" s="1"/>
  <c r="D49" i="18"/>
  <c r="D47" i="18"/>
  <c r="D45" i="18"/>
  <c r="D43" i="18"/>
  <c r="D41" i="18"/>
  <c r="D39" i="18"/>
  <c r="D37" i="18"/>
  <c r="D35" i="18"/>
  <c r="D33" i="18"/>
  <c r="D31" i="18"/>
  <c r="D29" i="18"/>
  <c r="D27" i="18"/>
  <c r="D25" i="18"/>
  <c r="D23" i="18"/>
  <c r="D21" i="18"/>
  <c r="D19" i="18"/>
  <c r="D17" i="18"/>
  <c r="D15" i="18"/>
  <c r="D13" i="18"/>
  <c r="D11" i="18"/>
  <c r="D9" i="18"/>
  <c r="D7" i="18"/>
  <c r="C49" i="18"/>
  <c r="G49" i="18"/>
  <c r="C35" i="18"/>
  <c r="G35" i="18" s="1"/>
  <c r="C33" i="18"/>
  <c r="G33" i="18"/>
  <c r="B32" i="17"/>
  <c r="B31" i="17"/>
  <c r="B30" i="17"/>
  <c r="F27" i="17"/>
  <c r="D27" i="17"/>
  <c r="B27" i="17"/>
  <c r="F26" i="17"/>
  <c r="D26" i="17"/>
  <c r="B26" i="17"/>
  <c r="G9" i="23"/>
  <c r="B25" i="17"/>
  <c r="D10" i="25"/>
  <c r="E10" i="25"/>
  <c r="D11" i="25"/>
  <c r="D12" i="25"/>
  <c r="E12" i="25"/>
  <c r="D13" i="25"/>
  <c r="E13" i="25" s="1"/>
  <c r="G13" i="25" s="1"/>
  <c r="E14" i="25"/>
  <c r="G14" i="25" s="1"/>
  <c r="D17" i="25"/>
  <c r="E17" i="25" s="1"/>
  <c r="G17" i="25" s="1"/>
  <c r="D18" i="25"/>
  <c r="E18" i="25" s="1"/>
  <c r="G18" i="25" s="1"/>
  <c r="D22" i="25"/>
  <c r="D23" i="25"/>
  <c r="F23" i="25" s="1"/>
  <c r="G24" i="25"/>
  <c r="E25" i="25"/>
  <c r="G9" i="24"/>
  <c r="D10" i="24"/>
  <c r="D11" i="24"/>
  <c r="C3" i="24" s="1"/>
  <c r="D12" i="24"/>
  <c r="D13" i="24"/>
  <c r="E13" i="24" s="1"/>
  <c r="G13" i="24" s="1"/>
  <c r="D17" i="24"/>
  <c r="D22" i="24"/>
  <c r="G24" i="24"/>
  <c r="D10" i="23"/>
  <c r="D16" i="23" s="1"/>
  <c r="G16" i="23" s="1"/>
  <c r="D11" i="23"/>
  <c r="D12" i="23"/>
  <c r="D13" i="23"/>
  <c r="E13" i="23" s="1"/>
  <c r="D17" i="23"/>
  <c r="E17" i="23" s="1"/>
  <c r="G17" i="23" s="1"/>
  <c r="D22" i="23"/>
  <c r="F22" i="23" s="1"/>
  <c r="G22" i="23" s="1"/>
  <c r="D10" i="22"/>
  <c r="D11" i="22"/>
  <c r="D12" i="22"/>
  <c r="D13" i="22"/>
  <c r="D17" i="22"/>
  <c r="G17" i="22" s="1"/>
  <c r="E19" i="22"/>
  <c r="G19" i="22"/>
  <c r="D22" i="22"/>
  <c r="F22" i="22" s="1"/>
  <c r="G24" i="22"/>
  <c r="D10" i="21"/>
  <c r="G10" i="21" s="1"/>
  <c r="G12" i="21"/>
  <c r="D17" i="21"/>
  <c r="E19" i="21"/>
  <c r="G19" i="21"/>
  <c r="D22" i="21"/>
  <c r="F22" i="21" s="1"/>
  <c r="G24" i="21"/>
  <c r="D10" i="20"/>
  <c r="C3" i="20" s="1"/>
  <c r="D11" i="20"/>
  <c r="G19" i="20"/>
  <c r="D22" i="20"/>
  <c r="F22" i="20" s="1"/>
  <c r="G24" i="20"/>
  <c r="D10" i="2"/>
  <c r="E17" i="3"/>
  <c r="E18" i="3"/>
  <c r="G18" i="3" s="1"/>
  <c r="D13" i="10"/>
  <c r="E13" i="10" s="1"/>
  <c r="G13" i="10" s="1"/>
  <c r="D10" i="11"/>
  <c r="D12" i="12"/>
  <c r="E12" i="12" s="1"/>
  <c r="G12" i="12" s="1"/>
  <c r="D9" i="12"/>
  <c r="E16" i="16"/>
  <c r="G16" i="16"/>
  <c r="G14" i="16"/>
  <c r="F3" i="16"/>
  <c r="G9" i="11"/>
  <c r="E17" i="11"/>
  <c r="E19" i="11"/>
  <c r="G19" i="11" s="1"/>
  <c r="D22" i="11"/>
  <c r="F22" i="11" s="1"/>
  <c r="D10" i="10"/>
  <c r="G10" i="10" s="1"/>
  <c r="D17" i="10"/>
  <c r="E17" i="10" s="1"/>
  <c r="D22" i="10"/>
  <c r="D10" i="9"/>
  <c r="G10" i="9" s="1"/>
  <c r="D13" i="9"/>
  <c r="E13" i="9"/>
  <c r="D17" i="9"/>
  <c r="E17" i="9" s="1"/>
  <c r="E19" i="9"/>
  <c r="G19" i="9" s="1"/>
  <c r="D22" i="9"/>
  <c r="F22" i="9" s="1"/>
  <c r="F27" i="9" s="1"/>
  <c r="F21" i="16"/>
  <c r="G23" i="16"/>
  <c r="F8" i="15"/>
  <c r="C12" i="15"/>
  <c r="D12" i="15" s="1"/>
  <c r="F12" i="15" s="1"/>
  <c r="C21" i="15"/>
  <c r="E21" i="15" s="1"/>
  <c r="G11" i="14"/>
  <c r="D21" i="14"/>
  <c r="F21" i="14" s="1"/>
  <c r="G11" i="13"/>
  <c r="E10" i="12"/>
  <c r="G10" i="12" s="1"/>
  <c r="D16" i="12"/>
  <c r="E18" i="12"/>
  <c r="G18" i="12"/>
  <c r="E19" i="12"/>
  <c r="G19" i="12" s="1"/>
  <c r="D21" i="12"/>
  <c r="F21" i="12"/>
  <c r="G23" i="12"/>
  <c r="D10" i="7"/>
  <c r="G19" i="6"/>
  <c r="G17" i="3"/>
  <c r="E19" i="2"/>
  <c r="G19" i="2" s="1"/>
  <c r="D22" i="2"/>
  <c r="F22" i="2" s="1"/>
  <c r="G24" i="2"/>
  <c r="D10" i="1"/>
  <c r="E13" i="1"/>
  <c r="G13" i="1" s="1"/>
  <c r="G14" i="1"/>
  <c r="E19" i="1"/>
  <c r="G19" i="1" s="1"/>
  <c r="E20" i="1"/>
  <c r="G20" i="1" s="1"/>
  <c r="D22" i="1"/>
  <c r="G24" i="1"/>
  <c r="E29" i="13"/>
  <c r="E29" i="14"/>
  <c r="E29" i="16"/>
  <c r="E31" i="9"/>
  <c r="E29" i="12"/>
  <c r="E30" i="10"/>
  <c r="B34" i="17"/>
  <c r="B33" i="17"/>
  <c r="B29" i="17"/>
  <c r="B28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E16" i="12"/>
  <c r="D25" i="23"/>
  <c r="E33" i="18"/>
  <c r="L33" i="18"/>
  <c r="J33" i="18"/>
  <c r="H33" i="18"/>
  <c r="F33" i="18"/>
  <c r="L35" i="18"/>
  <c r="J35" i="18"/>
  <c r="H35" i="18"/>
  <c r="F35" i="18"/>
  <c r="L49" i="18"/>
  <c r="J49" i="18"/>
  <c r="H49" i="18"/>
  <c r="F49" i="18"/>
  <c r="E35" i="18"/>
  <c r="K33" i="18"/>
  <c r="I33" i="18"/>
  <c r="K35" i="18"/>
  <c r="I35" i="18"/>
  <c r="K49" i="18"/>
  <c r="I49" i="18"/>
  <c r="D20" i="16"/>
  <c r="E20" i="16" s="1"/>
  <c r="G20" i="16" s="1"/>
  <c r="D12" i="3"/>
  <c r="C15" i="15"/>
  <c r="D15" i="15" s="1"/>
  <c r="F15" i="15" s="1"/>
  <c r="C9" i="15"/>
  <c r="F21" i="15"/>
  <c r="G21" i="16"/>
  <c r="G11" i="22"/>
  <c r="F22" i="25"/>
  <c r="G22" i="25" s="1"/>
  <c r="G9" i="9"/>
  <c r="G12" i="25"/>
  <c r="G9" i="25"/>
  <c r="C3" i="3"/>
  <c r="D19" i="3" s="1"/>
  <c r="G10" i="5"/>
  <c r="G11" i="3"/>
  <c r="D24" i="16"/>
  <c r="D15" i="16"/>
  <c r="E15" i="16" s="1"/>
  <c r="E20" i="11"/>
  <c r="E18" i="7"/>
  <c r="F27" i="16"/>
  <c r="G17" i="16"/>
  <c r="E24" i="16"/>
  <c r="D25" i="16"/>
  <c r="G25" i="16" s="1"/>
  <c r="G18" i="7"/>
  <c r="G10" i="7" l="1"/>
  <c r="G23" i="22"/>
  <c r="D18" i="8"/>
  <c r="E18" i="8" s="1"/>
  <c r="G18" i="8" s="1"/>
  <c r="E18" i="2"/>
  <c r="E13" i="21"/>
  <c r="E25" i="4"/>
  <c r="E12" i="7"/>
  <c r="G12" i="7" s="1"/>
  <c r="E11" i="6"/>
  <c r="E13" i="20"/>
  <c r="G13" i="20" s="1"/>
  <c r="F3" i="21"/>
  <c r="C3" i="21" s="1"/>
  <c r="E12" i="20"/>
  <c r="G12" i="20" s="1"/>
  <c r="D18" i="20"/>
  <c r="G67" i="11"/>
  <c r="G24" i="16"/>
  <c r="G23" i="6"/>
  <c r="G12" i="4"/>
  <c r="E12" i="6"/>
  <c r="E15" i="1"/>
  <c r="D18" i="1"/>
  <c r="G18" i="1" s="1"/>
  <c r="E13" i="11"/>
  <c r="G13" i="11" s="1"/>
  <c r="D18" i="11"/>
  <c r="G90" i="24"/>
  <c r="E58" i="21"/>
  <c r="E12" i="8"/>
  <c r="G12" i="8" s="1"/>
  <c r="F3" i="5"/>
  <c r="F3" i="11"/>
  <c r="E18" i="20"/>
  <c r="D18" i="21"/>
  <c r="G90" i="25"/>
  <c r="G58" i="21"/>
  <c r="G53" i="21"/>
  <c r="G89" i="22"/>
  <c r="G90" i="22"/>
  <c r="G91" i="24"/>
  <c r="G91" i="25"/>
  <c r="G91" i="5"/>
  <c r="E65" i="7"/>
  <c r="G51" i="21"/>
  <c r="D61" i="21"/>
  <c r="D56" i="21"/>
  <c r="G56" i="21" s="1"/>
  <c r="G49" i="21"/>
  <c r="D66" i="21"/>
  <c r="G66" i="21" s="1"/>
  <c r="D65" i="21"/>
  <c r="G65" i="21" s="1"/>
  <c r="F63" i="21"/>
  <c r="G63" i="21" s="1"/>
  <c r="F62" i="21"/>
  <c r="G62" i="21"/>
  <c r="E97" i="20"/>
  <c r="G57" i="20"/>
  <c r="G91" i="20"/>
  <c r="G89" i="20"/>
  <c r="F101" i="20"/>
  <c r="D100" i="20"/>
  <c r="G88" i="20"/>
  <c r="D106" i="20"/>
  <c r="D105" i="20"/>
  <c r="G105" i="20" s="1"/>
  <c r="D104" i="20"/>
  <c r="G104" i="20" s="1"/>
  <c r="D95" i="20"/>
  <c r="G95" i="20" s="1"/>
  <c r="G92" i="20"/>
  <c r="G90" i="20"/>
  <c r="G97" i="20"/>
  <c r="G102" i="20"/>
  <c r="F102" i="20"/>
  <c r="G50" i="20"/>
  <c r="G62" i="20"/>
  <c r="F62" i="20"/>
  <c r="G52" i="20"/>
  <c r="F61" i="20"/>
  <c r="F66" i="20" s="1"/>
  <c r="D60" i="20"/>
  <c r="G48" i="20"/>
  <c r="D65" i="20"/>
  <c r="G65" i="20" s="1"/>
  <c r="D64" i="20"/>
  <c r="G64" i="20" s="1"/>
  <c r="D55" i="20"/>
  <c r="G55" i="20" s="1"/>
  <c r="G51" i="20"/>
  <c r="D125" i="11"/>
  <c r="G125" i="11" s="1"/>
  <c r="D115" i="11"/>
  <c r="G108" i="11"/>
  <c r="D124" i="11"/>
  <c r="D120" i="11"/>
  <c r="G121" i="11"/>
  <c r="F122" i="11"/>
  <c r="F126" i="11" s="1"/>
  <c r="G117" i="11"/>
  <c r="E124" i="11"/>
  <c r="G109" i="11"/>
  <c r="D75" i="11"/>
  <c r="G75" i="11" s="1"/>
  <c r="D74" i="11"/>
  <c r="D65" i="11"/>
  <c r="D70" i="11"/>
  <c r="G58" i="11"/>
  <c r="F72" i="11"/>
  <c r="G72" i="11" s="1"/>
  <c r="E74" i="11"/>
  <c r="G59" i="11"/>
  <c r="G71" i="11"/>
  <c r="D16" i="11"/>
  <c r="G11" i="11"/>
  <c r="D25" i="11"/>
  <c r="C3" i="11"/>
  <c r="C17" i="18" s="1"/>
  <c r="L17" i="18" s="1"/>
  <c r="D105" i="22"/>
  <c r="G105" i="22" s="1"/>
  <c r="D65" i="22"/>
  <c r="G65" i="22" s="1"/>
  <c r="D60" i="22"/>
  <c r="C42" i="22"/>
  <c r="D59" i="22" s="1"/>
  <c r="F101" i="22"/>
  <c r="G101" i="22" s="1"/>
  <c r="D104" i="22"/>
  <c r="F102" i="22"/>
  <c r="G102" i="22" s="1"/>
  <c r="D100" i="22"/>
  <c r="D95" i="22"/>
  <c r="G95" i="22" s="1"/>
  <c r="C82" i="22"/>
  <c r="D99" i="22" s="1"/>
  <c r="E104" i="22"/>
  <c r="G96" i="22"/>
  <c r="D94" i="22"/>
  <c r="E60" i="22"/>
  <c r="G60" i="22"/>
  <c r="G50" i="22"/>
  <c r="E64" i="22"/>
  <c r="G64" i="22" s="1"/>
  <c r="F62" i="22"/>
  <c r="G62" i="22" s="1"/>
  <c r="E59" i="22"/>
  <c r="G59" i="22" s="1"/>
  <c r="F61" i="22"/>
  <c r="F66" i="22" s="1"/>
  <c r="G49" i="22"/>
  <c r="G56" i="22"/>
  <c r="D54" i="22"/>
  <c r="D15" i="22"/>
  <c r="D25" i="22"/>
  <c r="D26" i="22"/>
  <c r="G26" i="22" s="1"/>
  <c r="G9" i="22"/>
  <c r="F101" i="3"/>
  <c r="F106" i="3" s="1"/>
  <c r="D98" i="3"/>
  <c r="D99" i="3"/>
  <c r="G89" i="3"/>
  <c r="D100" i="3"/>
  <c r="D94" i="3"/>
  <c r="D95" i="3"/>
  <c r="G95" i="3" s="1"/>
  <c r="D104" i="3"/>
  <c r="G104" i="3" s="1"/>
  <c r="D105" i="3"/>
  <c r="G105" i="3" s="1"/>
  <c r="E94" i="3"/>
  <c r="G88" i="3"/>
  <c r="G97" i="3"/>
  <c r="G102" i="3"/>
  <c r="F102" i="3"/>
  <c r="E92" i="3"/>
  <c r="G92" i="3" s="1"/>
  <c r="G90" i="3"/>
  <c r="F62" i="3"/>
  <c r="D60" i="3"/>
  <c r="D59" i="3"/>
  <c r="D61" i="3"/>
  <c r="D55" i="3"/>
  <c r="D66" i="3"/>
  <c r="G66" i="3" s="1"/>
  <c r="G49" i="3"/>
  <c r="D67" i="3"/>
  <c r="D56" i="3"/>
  <c r="G56" i="3" s="1"/>
  <c r="D65" i="3"/>
  <c r="G65" i="3" s="1"/>
  <c r="E55" i="3"/>
  <c r="G58" i="3"/>
  <c r="G51" i="3"/>
  <c r="G50" i="3"/>
  <c r="E53" i="3"/>
  <c r="G53" i="3"/>
  <c r="F63" i="3"/>
  <c r="G63" i="3" s="1"/>
  <c r="D21" i="3"/>
  <c r="E21" i="3" s="1"/>
  <c r="G21" i="3" s="1"/>
  <c r="D16" i="3"/>
  <c r="G16" i="3" s="1"/>
  <c r="E15" i="3"/>
  <c r="G9" i="3"/>
  <c r="D26" i="3"/>
  <c r="G26" i="3" s="1"/>
  <c r="D20" i="3"/>
  <c r="E20" i="3" s="1"/>
  <c r="G20" i="3" s="1"/>
  <c r="D15" i="3"/>
  <c r="G15" i="3" s="1"/>
  <c r="E90" i="4"/>
  <c r="G90" i="4" s="1"/>
  <c r="E97" i="4"/>
  <c r="G97" i="4"/>
  <c r="E92" i="4"/>
  <c r="G92" i="4" s="1"/>
  <c r="F101" i="4"/>
  <c r="G101" i="4"/>
  <c r="G91" i="4"/>
  <c r="F102" i="4"/>
  <c r="G102" i="4" s="1"/>
  <c r="E104" i="4"/>
  <c r="D100" i="4"/>
  <c r="E94" i="4"/>
  <c r="G88" i="4"/>
  <c r="D94" i="4"/>
  <c r="D105" i="4"/>
  <c r="G105" i="4" s="1"/>
  <c r="D104" i="4"/>
  <c r="D95" i="4"/>
  <c r="G95" i="4" s="1"/>
  <c r="C82" i="4"/>
  <c r="F61" i="4"/>
  <c r="G61" i="4" s="1"/>
  <c r="D59" i="4"/>
  <c r="D58" i="4"/>
  <c r="E50" i="4"/>
  <c r="G50" i="4" s="1"/>
  <c r="G51" i="4"/>
  <c r="E52" i="4"/>
  <c r="G52" i="4" s="1"/>
  <c r="E57" i="4"/>
  <c r="G57" i="4"/>
  <c r="G62" i="4"/>
  <c r="F62" i="4"/>
  <c r="D60" i="4"/>
  <c r="E54" i="4"/>
  <c r="G48" i="4"/>
  <c r="D54" i="4"/>
  <c r="D65" i="4"/>
  <c r="G65" i="4" s="1"/>
  <c r="D64" i="4"/>
  <c r="G64" i="4" s="1"/>
  <c r="D55" i="4"/>
  <c r="G55" i="4" s="1"/>
  <c r="G49" i="4"/>
  <c r="D100" i="24"/>
  <c r="E94" i="24"/>
  <c r="G88" i="24"/>
  <c r="D94" i="24"/>
  <c r="D105" i="24"/>
  <c r="G105" i="24" s="1"/>
  <c r="D104" i="24"/>
  <c r="G104" i="24" s="1"/>
  <c r="D95" i="24"/>
  <c r="G95" i="24" s="1"/>
  <c r="C82" i="24"/>
  <c r="E97" i="24"/>
  <c r="G97" i="24"/>
  <c r="E92" i="24"/>
  <c r="G92" i="24" s="1"/>
  <c r="F101" i="24"/>
  <c r="F106" i="24" s="1"/>
  <c r="F102" i="24"/>
  <c r="G102" i="24" s="1"/>
  <c r="G89" i="24"/>
  <c r="D55" i="24"/>
  <c r="G55" i="24" s="1"/>
  <c r="G61" i="24"/>
  <c r="D54" i="24"/>
  <c r="E54" i="24"/>
  <c r="G54" i="24" s="1"/>
  <c r="D65" i="24"/>
  <c r="G65" i="24" s="1"/>
  <c r="D64" i="24"/>
  <c r="G64" i="24" s="1"/>
  <c r="C42" i="24"/>
  <c r="E60" i="24"/>
  <c r="G60" i="24" s="1"/>
  <c r="E52" i="24"/>
  <c r="G52" i="24" s="1"/>
  <c r="D26" i="24"/>
  <c r="G26" i="24" s="1"/>
  <c r="E15" i="24"/>
  <c r="G89" i="25"/>
  <c r="E97" i="25"/>
  <c r="G97" i="25" s="1"/>
  <c r="D100" i="25"/>
  <c r="E94" i="25"/>
  <c r="G88" i="25"/>
  <c r="D105" i="25"/>
  <c r="G105" i="25" s="1"/>
  <c r="D94" i="25"/>
  <c r="G94" i="25" s="1"/>
  <c r="D104" i="25"/>
  <c r="G104" i="25" s="1"/>
  <c r="D95" i="25"/>
  <c r="G95" i="25" s="1"/>
  <c r="C82" i="25"/>
  <c r="G92" i="25"/>
  <c r="E92" i="25"/>
  <c r="F101" i="25"/>
  <c r="F106" i="25" s="1"/>
  <c r="F102" i="25"/>
  <c r="G102" i="25" s="1"/>
  <c r="F62" i="25"/>
  <c r="G62" i="25" s="1"/>
  <c r="F61" i="25"/>
  <c r="F66" i="25" s="1"/>
  <c r="G61" i="25"/>
  <c r="E57" i="25"/>
  <c r="G57" i="25"/>
  <c r="D60" i="25"/>
  <c r="E54" i="25"/>
  <c r="G48" i="25"/>
  <c r="D55" i="25"/>
  <c r="G55" i="25" s="1"/>
  <c r="D54" i="25"/>
  <c r="G54" i="25" s="1"/>
  <c r="D64" i="25"/>
  <c r="G64" i="25" s="1"/>
  <c r="D65" i="25"/>
  <c r="G65" i="25" s="1"/>
  <c r="C42" i="25"/>
  <c r="C42" i="23"/>
  <c r="F101" i="23"/>
  <c r="G101" i="23"/>
  <c r="F102" i="23"/>
  <c r="G102" i="23" s="1"/>
  <c r="C82" i="23"/>
  <c r="G90" i="23"/>
  <c r="E97" i="23"/>
  <c r="G92" i="23"/>
  <c r="E92" i="23"/>
  <c r="E94" i="23"/>
  <c r="G88" i="23"/>
  <c r="D105" i="23"/>
  <c r="G105" i="23" s="1"/>
  <c r="D94" i="23"/>
  <c r="G94" i="23" s="1"/>
  <c r="D104" i="23"/>
  <c r="G104" i="23" s="1"/>
  <c r="D100" i="23"/>
  <c r="D95" i="23"/>
  <c r="G95" i="23" s="1"/>
  <c r="G91" i="23"/>
  <c r="G89" i="23"/>
  <c r="E57" i="23"/>
  <c r="G57" i="23"/>
  <c r="F62" i="23"/>
  <c r="G62" i="23" s="1"/>
  <c r="F61" i="23"/>
  <c r="G61" i="23" s="1"/>
  <c r="G51" i="23"/>
  <c r="E52" i="23"/>
  <c r="G52" i="23" s="1"/>
  <c r="D59" i="23"/>
  <c r="D58" i="23"/>
  <c r="E54" i="23"/>
  <c r="G48" i="23"/>
  <c r="D54" i="23"/>
  <c r="D65" i="23"/>
  <c r="G65" i="23" s="1"/>
  <c r="D64" i="23"/>
  <c r="G64" i="23" s="1"/>
  <c r="D60" i="23"/>
  <c r="D55" i="23"/>
  <c r="G55" i="23" s="1"/>
  <c r="G49" i="23"/>
  <c r="E15" i="23"/>
  <c r="D15" i="23"/>
  <c r="G15" i="23" s="1"/>
  <c r="D26" i="23"/>
  <c r="G26" i="23" s="1"/>
  <c r="C3" i="23"/>
  <c r="D20" i="23" s="1"/>
  <c r="E20" i="23" s="1"/>
  <c r="G20" i="23" s="1"/>
  <c r="D21" i="23"/>
  <c r="E21" i="23" s="1"/>
  <c r="G21" i="23" s="1"/>
  <c r="G13" i="23"/>
  <c r="D100" i="5"/>
  <c r="E94" i="5"/>
  <c r="G88" i="5"/>
  <c r="D94" i="5"/>
  <c r="D104" i="5"/>
  <c r="G104" i="5" s="1"/>
  <c r="D95" i="5"/>
  <c r="G95" i="5" s="1"/>
  <c r="D105" i="5"/>
  <c r="G105" i="5" s="1"/>
  <c r="E90" i="5"/>
  <c r="G90" i="5" s="1"/>
  <c r="C82" i="5"/>
  <c r="F101" i="5"/>
  <c r="F106" i="5" s="1"/>
  <c r="C42" i="5"/>
  <c r="F61" i="5"/>
  <c r="F66" i="5" s="1"/>
  <c r="G61" i="5"/>
  <c r="E50" i="5"/>
  <c r="G50" i="5" s="1"/>
  <c r="E57" i="5"/>
  <c r="G57" i="5"/>
  <c r="E52" i="5"/>
  <c r="G52" i="5" s="1"/>
  <c r="D60" i="5"/>
  <c r="E54" i="5"/>
  <c r="G48" i="5"/>
  <c r="D64" i="5"/>
  <c r="G64" i="5" s="1"/>
  <c r="D55" i="5"/>
  <c r="G55" i="5" s="1"/>
  <c r="D65" i="5"/>
  <c r="G65" i="5" s="1"/>
  <c r="D54" i="5"/>
  <c r="G97" i="6"/>
  <c r="G88" i="6"/>
  <c r="D100" i="6"/>
  <c r="D94" i="6"/>
  <c r="G94" i="6" s="1"/>
  <c r="D104" i="6"/>
  <c r="D95" i="6"/>
  <c r="D105" i="6"/>
  <c r="G105" i="6" s="1"/>
  <c r="G101" i="6"/>
  <c r="F101" i="6"/>
  <c r="F106" i="6" s="1"/>
  <c r="E92" i="6"/>
  <c r="E104" i="6"/>
  <c r="C82" i="6"/>
  <c r="G48" i="6"/>
  <c r="D65" i="6"/>
  <c r="G65" i="6" s="1"/>
  <c r="D60" i="6"/>
  <c r="D54" i="6"/>
  <c r="G54" i="6" s="1"/>
  <c r="D64" i="6"/>
  <c r="G64" i="6" s="1"/>
  <c r="D55" i="6"/>
  <c r="E52" i="6"/>
  <c r="G52" i="6" s="1"/>
  <c r="G61" i="6"/>
  <c r="F61" i="6"/>
  <c r="F66" i="6" s="1"/>
  <c r="E98" i="7"/>
  <c r="G98" i="7" s="1"/>
  <c r="E95" i="7"/>
  <c r="G89" i="7"/>
  <c r="D101" i="7"/>
  <c r="D95" i="7"/>
  <c r="G95" i="7" s="1"/>
  <c r="D105" i="7"/>
  <c r="G105" i="7" s="1"/>
  <c r="D96" i="7"/>
  <c r="D106" i="7"/>
  <c r="G106" i="7" s="1"/>
  <c r="G90" i="7"/>
  <c r="G102" i="7"/>
  <c r="F102" i="7"/>
  <c r="F103" i="7"/>
  <c r="G103" i="7" s="1"/>
  <c r="C83" i="7"/>
  <c r="E93" i="7"/>
  <c r="G93" i="7" s="1"/>
  <c r="E97" i="7"/>
  <c r="G97" i="7" s="1"/>
  <c r="E55" i="7"/>
  <c r="G49" i="7"/>
  <c r="D61" i="7"/>
  <c r="D55" i="7"/>
  <c r="G55" i="7" s="1"/>
  <c r="D65" i="7"/>
  <c r="G65" i="7" s="1"/>
  <c r="D56" i="7"/>
  <c r="D66" i="7"/>
  <c r="G66" i="7" s="1"/>
  <c r="F62" i="7"/>
  <c r="F67" i="7" s="1"/>
  <c r="E58" i="7"/>
  <c r="G58" i="7" s="1"/>
  <c r="E53" i="7"/>
  <c r="G53" i="7" s="1"/>
  <c r="E54" i="8"/>
  <c r="G48" i="8"/>
  <c r="D60" i="8"/>
  <c r="D54" i="8"/>
  <c r="G54" i="8" s="1"/>
  <c r="D65" i="8"/>
  <c r="G65" i="8" s="1"/>
  <c r="D64" i="8"/>
  <c r="D55" i="8"/>
  <c r="F61" i="8"/>
  <c r="E57" i="8"/>
  <c r="G57" i="8"/>
  <c r="F62" i="8"/>
  <c r="G62" i="8" s="1"/>
  <c r="E64" i="8"/>
  <c r="E52" i="8"/>
  <c r="G49" i="8"/>
  <c r="F61" i="9"/>
  <c r="G61" i="9"/>
  <c r="F62" i="9"/>
  <c r="G62" i="9" s="1"/>
  <c r="G50" i="9"/>
  <c r="E50" i="9"/>
  <c r="E60" i="9"/>
  <c r="G60" i="9" s="1"/>
  <c r="E64" i="9"/>
  <c r="G64" i="9" s="1"/>
  <c r="C42" i="9"/>
  <c r="G49" i="9"/>
  <c r="E56" i="9"/>
  <c r="E66" i="9" s="1"/>
  <c r="D54" i="9"/>
  <c r="G54" i="9" s="1"/>
  <c r="G13" i="9"/>
  <c r="D15" i="9"/>
  <c r="D55" i="10"/>
  <c r="G55" i="10" s="1"/>
  <c r="D64" i="10"/>
  <c r="G64" i="10" s="1"/>
  <c r="D60" i="10"/>
  <c r="E50" i="10"/>
  <c r="G50" i="10" s="1"/>
  <c r="E59" i="10"/>
  <c r="G59" i="10" s="1"/>
  <c r="E52" i="10"/>
  <c r="G52" i="10" s="1"/>
  <c r="F62" i="10"/>
  <c r="G62" i="10" s="1"/>
  <c r="D54" i="10"/>
  <c r="E56" i="10"/>
  <c r="G56" i="10" s="1"/>
  <c r="D65" i="10"/>
  <c r="G65" i="10" s="1"/>
  <c r="E54" i="10"/>
  <c r="E11" i="10"/>
  <c r="G11" i="10"/>
  <c r="F61" i="12"/>
  <c r="G61" i="12"/>
  <c r="E56" i="12"/>
  <c r="G56" i="12" s="1"/>
  <c r="E55" i="12"/>
  <c r="G55" i="12" s="1"/>
  <c r="G50" i="12"/>
  <c r="F65" i="12"/>
  <c r="G48" i="12"/>
  <c r="C42" i="12"/>
  <c r="E49" i="12"/>
  <c r="G49" i="12"/>
  <c r="D59" i="12"/>
  <c r="D63" i="12"/>
  <c r="G63" i="12" s="1"/>
  <c r="E53" i="12"/>
  <c r="G47" i="12"/>
  <c r="D64" i="12"/>
  <c r="G64" i="12" s="1"/>
  <c r="D53" i="12"/>
  <c r="D54" i="12"/>
  <c r="G54" i="12" s="1"/>
  <c r="G60" i="12"/>
  <c r="E14" i="12"/>
  <c r="D20" i="12"/>
  <c r="E20" i="12" s="1"/>
  <c r="G8" i="12"/>
  <c r="D25" i="12"/>
  <c r="G25" i="12" s="1"/>
  <c r="D14" i="12"/>
  <c r="C42" i="13"/>
  <c r="F60" i="13"/>
  <c r="F65" i="13" s="1"/>
  <c r="G61" i="13"/>
  <c r="F61" i="13"/>
  <c r="D54" i="13"/>
  <c r="G54" i="13" s="1"/>
  <c r="D53" i="13"/>
  <c r="G53" i="13" s="1"/>
  <c r="E49" i="13"/>
  <c r="G49" i="13" s="1"/>
  <c r="E51" i="13"/>
  <c r="G51" i="13" s="1"/>
  <c r="D63" i="13"/>
  <c r="G63" i="13" s="1"/>
  <c r="D59" i="13"/>
  <c r="D64" i="13"/>
  <c r="G64" i="13" s="1"/>
  <c r="E56" i="13"/>
  <c r="G56" i="13" s="1"/>
  <c r="E55" i="13"/>
  <c r="G55" i="13" s="1"/>
  <c r="D53" i="14"/>
  <c r="D54" i="14"/>
  <c r="G54" i="14" s="1"/>
  <c r="F61" i="14"/>
  <c r="G61" i="14" s="1"/>
  <c r="E51" i="14"/>
  <c r="G51" i="14" s="1"/>
  <c r="F60" i="14"/>
  <c r="F65" i="14" s="1"/>
  <c r="G60" i="14"/>
  <c r="G56" i="14"/>
  <c r="E56" i="14"/>
  <c r="E55" i="14"/>
  <c r="G55" i="14"/>
  <c r="G63" i="14"/>
  <c r="E59" i="14"/>
  <c r="G59" i="14" s="1"/>
  <c r="G48" i="14"/>
  <c r="C42" i="14"/>
  <c r="E49" i="14"/>
  <c r="E65" i="14" s="1"/>
  <c r="E53" i="14"/>
  <c r="G53" i="14" s="1"/>
  <c r="D65" i="14"/>
  <c r="F60" i="15"/>
  <c r="D49" i="15"/>
  <c r="F49" i="15" s="1"/>
  <c r="B42" i="15"/>
  <c r="F48" i="15"/>
  <c r="C63" i="15"/>
  <c r="F63" i="15" s="1"/>
  <c r="C56" i="15"/>
  <c r="F56" i="15" s="1"/>
  <c r="D53" i="15"/>
  <c r="F47" i="15"/>
  <c r="C64" i="15"/>
  <c r="F64" i="15" s="1"/>
  <c r="C53" i="15"/>
  <c r="C59" i="15"/>
  <c r="D55" i="15"/>
  <c r="F55" i="15" s="1"/>
  <c r="E61" i="15"/>
  <c r="E65" i="15" s="1"/>
  <c r="D54" i="15"/>
  <c r="F54" i="15" s="1"/>
  <c r="E54" i="16"/>
  <c r="G54" i="16"/>
  <c r="E49" i="16"/>
  <c r="D64" i="16"/>
  <c r="G64" i="16" s="1"/>
  <c r="D57" i="16"/>
  <c r="E50" i="16"/>
  <c r="G50" i="16" s="1"/>
  <c r="D63" i="16"/>
  <c r="G61" i="16"/>
  <c r="C42" i="16"/>
  <c r="D58" i="16" s="1"/>
  <c r="D59" i="16"/>
  <c r="B3" i="15"/>
  <c r="C17" i="15"/>
  <c r="F17" i="15" s="1"/>
  <c r="C3" i="16"/>
  <c r="D19" i="16" s="1"/>
  <c r="D21" i="13"/>
  <c r="D9" i="13"/>
  <c r="G9" i="13" s="1"/>
  <c r="D16" i="13"/>
  <c r="E16" i="13" s="1"/>
  <c r="D12" i="13"/>
  <c r="E12" i="13" s="1"/>
  <c r="G12" i="13" s="1"/>
  <c r="D22" i="6"/>
  <c r="F22" i="6" s="1"/>
  <c r="D13" i="6"/>
  <c r="E13" i="6" s="1"/>
  <c r="G13" i="6" s="1"/>
  <c r="D9" i="6"/>
  <c r="G9" i="6" s="1"/>
  <c r="D22" i="7"/>
  <c r="F22" i="7" s="1"/>
  <c r="D9" i="14"/>
  <c r="D22" i="8"/>
  <c r="F22" i="8" s="1"/>
  <c r="G22" i="8" s="1"/>
  <c r="D13" i="7"/>
  <c r="E13" i="7" s="1"/>
  <c r="G13" i="7" s="1"/>
  <c r="D16" i="14"/>
  <c r="E16" i="14" s="1"/>
  <c r="D13" i="8"/>
  <c r="E13" i="8" s="1"/>
  <c r="F18" i="15"/>
  <c r="D10" i="8"/>
  <c r="G10" i="8" s="1"/>
  <c r="D11" i="2"/>
  <c r="D16" i="2" s="1"/>
  <c r="D10" i="14"/>
  <c r="E10" i="14" s="1"/>
  <c r="G10" i="14" s="1"/>
  <c r="D11" i="8"/>
  <c r="D11" i="7"/>
  <c r="G11" i="7" s="1"/>
  <c r="D17" i="8"/>
  <c r="D11" i="6"/>
  <c r="G11" i="6" s="1"/>
  <c r="D13" i="2"/>
  <c r="G13" i="2" s="1"/>
  <c r="D11" i="21"/>
  <c r="D25" i="21" s="1"/>
  <c r="G25" i="21" s="1"/>
  <c r="D10" i="13"/>
  <c r="D17" i="6"/>
  <c r="E17" i="6" s="1"/>
  <c r="G18" i="20"/>
  <c r="G11" i="20"/>
  <c r="G20" i="11"/>
  <c r="G17" i="11"/>
  <c r="G12" i="11"/>
  <c r="G15" i="21"/>
  <c r="G22" i="2"/>
  <c r="G9" i="8"/>
  <c r="C3" i="9"/>
  <c r="D26" i="9"/>
  <c r="G26" i="9" s="1"/>
  <c r="G22" i="9"/>
  <c r="D26" i="10"/>
  <c r="G26" i="10" s="1"/>
  <c r="G20" i="12"/>
  <c r="G14" i="12"/>
  <c r="G8" i="13"/>
  <c r="D25" i="13"/>
  <c r="G25" i="13" s="1"/>
  <c r="D24" i="13"/>
  <c r="G24" i="13" s="1"/>
  <c r="D15" i="13"/>
  <c r="G15" i="13" s="1"/>
  <c r="G21" i="14"/>
  <c r="F26" i="14"/>
  <c r="G8" i="14"/>
  <c r="D19" i="23"/>
  <c r="C20" i="15"/>
  <c r="D20" i="15" s="1"/>
  <c r="F20" i="15" s="1"/>
  <c r="C14" i="15"/>
  <c r="D14" i="15"/>
  <c r="C24" i="15"/>
  <c r="C25" i="15"/>
  <c r="F25" i="15" s="1"/>
  <c r="F22" i="1"/>
  <c r="G22" i="1" s="1"/>
  <c r="G10" i="20"/>
  <c r="D16" i="20"/>
  <c r="G16" i="20" s="1"/>
  <c r="D25" i="20"/>
  <c r="G25" i="20" s="1"/>
  <c r="D21" i="20"/>
  <c r="E21" i="20" s="1"/>
  <c r="G21" i="20" s="1"/>
  <c r="E13" i="22"/>
  <c r="G13" i="22" s="1"/>
  <c r="E15" i="4"/>
  <c r="D15" i="4"/>
  <c r="D16" i="4"/>
  <c r="G16" i="4" s="1"/>
  <c r="D25" i="4"/>
  <c r="D16" i="5"/>
  <c r="G16" i="5" s="1"/>
  <c r="E11" i="5"/>
  <c r="G11" i="5" s="1"/>
  <c r="D21" i="5"/>
  <c r="E21" i="5" s="1"/>
  <c r="D25" i="5"/>
  <c r="G25" i="5" s="1"/>
  <c r="C3" i="5"/>
  <c r="D15" i="5"/>
  <c r="G10" i="6"/>
  <c r="D26" i="20"/>
  <c r="G26" i="20" s="1"/>
  <c r="E15" i="10"/>
  <c r="D21" i="10"/>
  <c r="E21" i="10" s="1"/>
  <c r="G21" i="10" s="1"/>
  <c r="D15" i="10"/>
  <c r="D25" i="10"/>
  <c r="G25" i="10" s="1"/>
  <c r="D16" i="10"/>
  <c r="G16" i="10" s="1"/>
  <c r="D21" i="1"/>
  <c r="D25" i="1"/>
  <c r="D16" i="1"/>
  <c r="G16" i="1" s="1"/>
  <c r="G21" i="12"/>
  <c r="G22" i="22"/>
  <c r="F27" i="22"/>
  <c r="E15" i="5"/>
  <c r="D27" i="3"/>
  <c r="D29" i="17" s="1"/>
  <c r="E19" i="3"/>
  <c r="C3" i="22"/>
  <c r="M35" i="18"/>
  <c r="E15" i="9"/>
  <c r="G15" i="9" s="1"/>
  <c r="E11" i="9"/>
  <c r="D21" i="9"/>
  <c r="E21" i="9" s="1"/>
  <c r="G21" i="9" s="1"/>
  <c r="D16" i="9"/>
  <c r="G16" i="9" s="1"/>
  <c r="D25" i="9"/>
  <c r="G25" i="9" s="1"/>
  <c r="E25" i="3"/>
  <c r="G10" i="3"/>
  <c r="E11" i="4"/>
  <c r="G11" i="4" s="1"/>
  <c r="F22" i="3"/>
  <c r="F27" i="3" s="1"/>
  <c r="E17" i="18"/>
  <c r="I17" i="18"/>
  <c r="E15" i="22"/>
  <c r="G15" i="22"/>
  <c r="F21" i="13"/>
  <c r="G21" i="13" s="1"/>
  <c r="J17" i="18"/>
  <c r="C3" i="4"/>
  <c r="D26" i="1"/>
  <c r="G26" i="1" s="1"/>
  <c r="F22" i="24"/>
  <c r="D16" i="25"/>
  <c r="G16" i="25" s="1"/>
  <c r="D21" i="25"/>
  <c r="E21" i="25" s="1"/>
  <c r="G21" i="25" s="1"/>
  <c r="E15" i="25"/>
  <c r="D15" i="25"/>
  <c r="D26" i="25"/>
  <c r="G26" i="25" s="1"/>
  <c r="D25" i="25"/>
  <c r="G25" i="25" s="1"/>
  <c r="M33" i="18"/>
  <c r="C39" i="18"/>
  <c r="G16" i="12"/>
  <c r="F27" i="8"/>
  <c r="E17" i="24"/>
  <c r="G17" i="24" s="1"/>
  <c r="G23" i="8"/>
  <c r="F23" i="10"/>
  <c r="G23" i="10" s="1"/>
  <c r="D11" i="15"/>
  <c r="F11" i="15" s="1"/>
  <c r="D24" i="15"/>
  <c r="D29" i="15"/>
  <c r="D13" i="15"/>
  <c r="F13" i="15" s="1"/>
  <c r="E12" i="10"/>
  <c r="E14" i="10"/>
  <c r="G14" i="10" s="1"/>
  <c r="D34" i="6"/>
  <c r="E15" i="6" s="1"/>
  <c r="D30" i="6"/>
  <c r="E25" i="6"/>
  <c r="E11" i="24"/>
  <c r="E14" i="24"/>
  <c r="G14" i="24" s="1"/>
  <c r="D34" i="24"/>
  <c r="E12" i="24"/>
  <c r="G12" i="24" s="1"/>
  <c r="D18" i="24"/>
  <c r="E18" i="24" s="1"/>
  <c r="G18" i="24" s="1"/>
  <c r="D23" i="24"/>
  <c r="D30" i="24"/>
  <c r="E10" i="24"/>
  <c r="E14" i="11"/>
  <c r="G14" i="11" s="1"/>
  <c r="D39" i="11"/>
  <c r="D15" i="11" s="1"/>
  <c r="E15" i="11" s="1"/>
  <c r="D23" i="11"/>
  <c r="D35" i="11"/>
  <c r="E18" i="11" s="1"/>
  <c r="G18" i="11" s="1"/>
  <c r="E30" i="11"/>
  <c r="G12" i="6"/>
  <c r="G12" i="1"/>
  <c r="E10" i="13"/>
  <c r="G10" i="13" s="1"/>
  <c r="D20" i="13"/>
  <c r="E20" i="13" s="1"/>
  <c r="G20" i="13" s="1"/>
  <c r="E14" i="13"/>
  <c r="D14" i="13"/>
  <c r="F22" i="10"/>
  <c r="F27" i="10" s="1"/>
  <c r="C15" i="18"/>
  <c r="D24" i="12"/>
  <c r="G12" i="2"/>
  <c r="D21" i="2"/>
  <c r="E21" i="2" s="1"/>
  <c r="G21" i="2" s="1"/>
  <c r="G10" i="22"/>
  <c r="D21" i="22"/>
  <c r="M49" i="18"/>
  <c r="D34" i="2"/>
  <c r="D15" i="2" s="1"/>
  <c r="E15" i="2" s="1"/>
  <c r="G15" i="2" s="1"/>
  <c r="D34" i="20"/>
  <c r="D15" i="20" s="1"/>
  <c r="E15" i="20" s="1"/>
  <c r="D34" i="22"/>
  <c r="D34" i="4"/>
  <c r="D34" i="25"/>
  <c r="D34" i="5"/>
  <c r="D35" i="7"/>
  <c r="F3" i="2"/>
  <c r="C3" i="2" s="1"/>
  <c r="G25" i="3"/>
  <c r="G17" i="9"/>
  <c r="G17" i="10"/>
  <c r="G12" i="22"/>
  <c r="E11" i="1"/>
  <c r="G11" i="1" s="1"/>
  <c r="G9" i="14"/>
  <c r="G18" i="2"/>
  <c r="D22" i="12"/>
  <c r="D26" i="12" s="1"/>
  <c r="D17" i="17" s="1"/>
  <c r="E9" i="12"/>
  <c r="E11" i="25"/>
  <c r="G11" i="25" s="1"/>
  <c r="D32" i="1"/>
  <c r="D17" i="1" s="1"/>
  <c r="G17" i="1" s="1"/>
  <c r="D30" i="21"/>
  <c r="E18" i="21" s="1"/>
  <c r="D30" i="3"/>
  <c r="D30" i="23"/>
  <c r="D30" i="8"/>
  <c r="G17" i="7"/>
  <c r="C43" i="18"/>
  <c r="G17" i="21"/>
  <c r="C3" i="25"/>
  <c r="D20" i="25" s="1"/>
  <c r="E10" i="1"/>
  <c r="G10" i="1" s="1"/>
  <c r="D23" i="7"/>
  <c r="D36" i="1"/>
  <c r="D15" i="1" s="1"/>
  <c r="D34" i="23"/>
  <c r="G17" i="20"/>
  <c r="G10" i="25"/>
  <c r="D23" i="1"/>
  <c r="G17" i="12"/>
  <c r="G17" i="14"/>
  <c r="D30" i="2"/>
  <c r="D31" i="7"/>
  <c r="D25" i="24"/>
  <c r="D16" i="24"/>
  <c r="G16" i="24" s="1"/>
  <c r="D15" i="24"/>
  <c r="G15" i="24" s="1"/>
  <c r="D21" i="24"/>
  <c r="F27" i="21"/>
  <c r="G22" i="21"/>
  <c r="G13" i="21"/>
  <c r="F27" i="20"/>
  <c r="G22" i="20"/>
  <c r="G22" i="11"/>
  <c r="G22" i="4"/>
  <c r="F27" i="4"/>
  <c r="D21" i="4"/>
  <c r="D26" i="4"/>
  <c r="G26" i="4" s="1"/>
  <c r="D19" i="24"/>
  <c r="D20" i="24"/>
  <c r="G11" i="23"/>
  <c r="G12" i="23"/>
  <c r="G21" i="5"/>
  <c r="D26" i="5"/>
  <c r="G26" i="5" s="1"/>
  <c r="F27" i="6"/>
  <c r="G22" i="6"/>
  <c r="F10" i="15"/>
  <c r="F9" i="15"/>
  <c r="F23" i="2"/>
  <c r="F27" i="2" s="1"/>
  <c r="G17" i="2"/>
  <c r="E14" i="2"/>
  <c r="G14" i="2" s="1"/>
  <c r="E11" i="2"/>
  <c r="E10" i="2"/>
  <c r="E10" i="11"/>
  <c r="G25" i="22"/>
  <c r="G11" i="24"/>
  <c r="G23" i="25"/>
  <c r="F27" i="25"/>
  <c r="E14" i="23"/>
  <c r="G14" i="23" s="1"/>
  <c r="E10" i="23"/>
  <c r="D23" i="23"/>
  <c r="D18" i="23"/>
  <c r="G23" i="5"/>
  <c r="F27" i="5"/>
  <c r="G22" i="13"/>
  <c r="F22" i="15"/>
  <c r="E26" i="15"/>
  <c r="G15" i="16"/>
  <c r="E27" i="3" l="1"/>
  <c r="F76" i="11"/>
  <c r="G15" i="20"/>
  <c r="G18" i="21"/>
  <c r="E25" i="1"/>
  <c r="G25" i="1" s="1"/>
  <c r="G25" i="4"/>
  <c r="F24" i="15"/>
  <c r="G15" i="11"/>
  <c r="G122" i="11"/>
  <c r="F67" i="3"/>
  <c r="G104" i="4"/>
  <c r="G11" i="2"/>
  <c r="D20" i="2"/>
  <c r="D26" i="2"/>
  <c r="G26" i="2" s="1"/>
  <c r="D25" i="2"/>
  <c r="D27" i="2" s="1"/>
  <c r="D33" i="17" s="1"/>
  <c r="D67" i="21"/>
  <c r="F67" i="21"/>
  <c r="E61" i="21"/>
  <c r="E67" i="21" s="1"/>
  <c r="F106" i="20"/>
  <c r="D66" i="20"/>
  <c r="G61" i="20"/>
  <c r="E100" i="20"/>
  <c r="E106" i="20" s="1"/>
  <c r="G101" i="20"/>
  <c r="E60" i="20"/>
  <c r="E66" i="20" s="1"/>
  <c r="D126" i="11"/>
  <c r="E120" i="11"/>
  <c r="G120" i="11" s="1"/>
  <c r="E115" i="11"/>
  <c r="G115" i="11" s="1"/>
  <c r="G124" i="11"/>
  <c r="E65" i="11"/>
  <c r="G74" i="11"/>
  <c r="E70" i="11"/>
  <c r="G70" i="11" s="1"/>
  <c r="D76" i="11"/>
  <c r="G17" i="18"/>
  <c r="H17" i="18"/>
  <c r="F17" i="18"/>
  <c r="K17" i="18"/>
  <c r="M17" i="18" s="1"/>
  <c r="G16" i="11"/>
  <c r="E16" i="11"/>
  <c r="E99" i="22"/>
  <c r="G99" i="22" s="1"/>
  <c r="G104" i="22"/>
  <c r="E94" i="22"/>
  <c r="G94" i="22" s="1"/>
  <c r="E100" i="22"/>
  <c r="G100" i="22"/>
  <c r="D106" i="22"/>
  <c r="F106" i="22"/>
  <c r="E54" i="22"/>
  <c r="E66" i="22" s="1"/>
  <c r="D66" i="22"/>
  <c r="G61" i="22"/>
  <c r="D106" i="3"/>
  <c r="G99" i="3"/>
  <c r="E99" i="3"/>
  <c r="G94" i="3"/>
  <c r="E98" i="3"/>
  <c r="E100" i="3"/>
  <c r="G100" i="3" s="1"/>
  <c r="G101" i="3"/>
  <c r="E61" i="3"/>
  <c r="G61" i="3" s="1"/>
  <c r="E59" i="3"/>
  <c r="E60" i="3"/>
  <c r="G60" i="3" s="1"/>
  <c r="G55" i="3"/>
  <c r="G62" i="3"/>
  <c r="G94" i="4"/>
  <c r="F106" i="4"/>
  <c r="D98" i="4"/>
  <c r="D99" i="4"/>
  <c r="E100" i="4"/>
  <c r="G100" i="4" s="1"/>
  <c r="E58" i="4"/>
  <c r="E59" i="4"/>
  <c r="G59" i="4" s="1"/>
  <c r="G54" i="4"/>
  <c r="E60" i="4"/>
  <c r="G60" i="4" s="1"/>
  <c r="D66" i="4"/>
  <c r="F66" i="4"/>
  <c r="G15" i="4"/>
  <c r="G101" i="24"/>
  <c r="D98" i="24"/>
  <c r="D99" i="24"/>
  <c r="G94" i="24"/>
  <c r="E100" i="24"/>
  <c r="G100" i="24" s="1"/>
  <c r="D58" i="24"/>
  <c r="D59" i="24"/>
  <c r="E59" i="24" s="1"/>
  <c r="G59" i="24" s="1"/>
  <c r="G101" i="25"/>
  <c r="D98" i="25"/>
  <c r="D99" i="25"/>
  <c r="E100" i="25"/>
  <c r="G100" i="25" s="1"/>
  <c r="D59" i="25"/>
  <c r="D58" i="25"/>
  <c r="D66" i="25"/>
  <c r="E60" i="25"/>
  <c r="G60" i="25"/>
  <c r="G54" i="23"/>
  <c r="E100" i="23"/>
  <c r="G100" i="23" s="1"/>
  <c r="D99" i="23"/>
  <c r="D98" i="23"/>
  <c r="G97" i="23"/>
  <c r="F106" i="23"/>
  <c r="H60" i="23"/>
  <c r="I60" i="23" s="1"/>
  <c r="E58" i="23"/>
  <c r="H58" i="23" s="1"/>
  <c r="H59" i="23" s="1"/>
  <c r="E60" i="23"/>
  <c r="G60" i="23" s="1"/>
  <c r="D66" i="23"/>
  <c r="E59" i="23"/>
  <c r="G59" i="23" s="1"/>
  <c r="F66" i="23"/>
  <c r="C31" i="18"/>
  <c r="G101" i="5"/>
  <c r="G94" i="5"/>
  <c r="E100" i="5"/>
  <c r="G100" i="5" s="1"/>
  <c r="D98" i="5"/>
  <c r="D99" i="5"/>
  <c r="E60" i="5"/>
  <c r="G60" i="5" s="1"/>
  <c r="G54" i="5"/>
  <c r="D58" i="5"/>
  <c r="D59" i="5"/>
  <c r="G92" i="6"/>
  <c r="E100" i="6"/>
  <c r="G100" i="6"/>
  <c r="G95" i="6"/>
  <c r="E95" i="6"/>
  <c r="D106" i="6"/>
  <c r="G104" i="6"/>
  <c r="E60" i="6"/>
  <c r="G60" i="6" s="1"/>
  <c r="E55" i="6"/>
  <c r="D66" i="6"/>
  <c r="G62" i="7"/>
  <c r="E101" i="7"/>
  <c r="G101" i="7" s="1"/>
  <c r="F107" i="7"/>
  <c r="E96" i="7"/>
  <c r="E107" i="7" s="1"/>
  <c r="D107" i="7"/>
  <c r="E56" i="7"/>
  <c r="E67" i="7" s="1"/>
  <c r="D67" i="7"/>
  <c r="E61" i="7"/>
  <c r="G61" i="7" s="1"/>
  <c r="D21" i="7"/>
  <c r="E21" i="7" s="1"/>
  <c r="G21" i="7" s="1"/>
  <c r="D16" i="7"/>
  <c r="D66" i="8"/>
  <c r="G64" i="8"/>
  <c r="E60" i="8"/>
  <c r="G60" i="8"/>
  <c r="F66" i="8"/>
  <c r="E55" i="8"/>
  <c r="E66" i="8" s="1"/>
  <c r="G52" i="8"/>
  <c r="G61" i="8"/>
  <c r="G13" i="8"/>
  <c r="G56" i="9"/>
  <c r="G66" i="9" s="1"/>
  <c r="D66" i="9"/>
  <c r="F66" i="9"/>
  <c r="E60" i="10"/>
  <c r="E66" i="10" s="1"/>
  <c r="F66" i="10"/>
  <c r="G54" i="10"/>
  <c r="D66" i="10"/>
  <c r="G53" i="12"/>
  <c r="E59" i="12"/>
  <c r="G59" i="12" s="1"/>
  <c r="G65" i="12" s="1"/>
  <c r="E65" i="12"/>
  <c r="D65" i="12"/>
  <c r="D65" i="13"/>
  <c r="G60" i="13"/>
  <c r="E59" i="13"/>
  <c r="G59" i="13" s="1"/>
  <c r="G65" i="13" s="1"/>
  <c r="E65" i="13"/>
  <c r="G49" i="14"/>
  <c r="G65" i="14" s="1"/>
  <c r="G16" i="14"/>
  <c r="F53" i="15"/>
  <c r="C65" i="15"/>
  <c r="F61" i="15"/>
  <c r="D59" i="15"/>
  <c r="F59" i="15" s="1"/>
  <c r="F65" i="15" s="1"/>
  <c r="E58" i="16"/>
  <c r="G58" i="16" s="1"/>
  <c r="E63" i="16"/>
  <c r="G63" i="16" s="1"/>
  <c r="D66" i="16"/>
  <c r="E57" i="16"/>
  <c r="G57" i="16"/>
  <c r="G49" i="16"/>
  <c r="E59" i="16"/>
  <c r="G59" i="16" s="1"/>
  <c r="C7" i="18"/>
  <c r="F7" i="18" s="1"/>
  <c r="D26" i="7"/>
  <c r="G26" i="7" s="1"/>
  <c r="D16" i="21"/>
  <c r="G16" i="21" s="1"/>
  <c r="E15" i="8"/>
  <c r="G22" i="7"/>
  <c r="D25" i="7"/>
  <c r="G25" i="7" s="1"/>
  <c r="D21" i="21"/>
  <c r="E21" i="21" s="1"/>
  <c r="G21" i="21" s="1"/>
  <c r="G11" i="21"/>
  <c r="C3" i="7"/>
  <c r="G19" i="7" s="1"/>
  <c r="D26" i="21"/>
  <c r="G26" i="21" s="1"/>
  <c r="D26" i="8"/>
  <c r="G26" i="8" s="1"/>
  <c r="G16" i="13"/>
  <c r="D21" i="8"/>
  <c r="D16" i="8"/>
  <c r="E16" i="8" s="1"/>
  <c r="G16" i="8" s="1"/>
  <c r="D15" i="8"/>
  <c r="D25" i="8"/>
  <c r="G25" i="8" s="1"/>
  <c r="D25" i="6"/>
  <c r="G25" i="6" s="1"/>
  <c r="D16" i="6"/>
  <c r="E16" i="6" s="1"/>
  <c r="G16" i="6" s="1"/>
  <c r="D26" i="6"/>
  <c r="G26" i="6" s="1"/>
  <c r="D21" i="6"/>
  <c r="E21" i="6" s="1"/>
  <c r="G21" i="6" s="1"/>
  <c r="D24" i="14"/>
  <c r="G24" i="14" s="1"/>
  <c r="C3" i="14"/>
  <c r="D20" i="14"/>
  <c r="E20" i="14" s="1"/>
  <c r="G20" i="14" s="1"/>
  <c r="E14" i="14"/>
  <c r="D15" i="14"/>
  <c r="G15" i="14" s="1"/>
  <c r="D25" i="14"/>
  <c r="G25" i="14" s="1"/>
  <c r="D15" i="6"/>
  <c r="D14" i="14"/>
  <c r="G14" i="14" s="1"/>
  <c r="E16" i="2"/>
  <c r="G16" i="2" s="1"/>
  <c r="E15" i="7"/>
  <c r="C3" i="6"/>
  <c r="G17" i="6"/>
  <c r="E18" i="6"/>
  <c r="G18" i="6" s="1"/>
  <c r="E16" i="7"/>
  <c r="G16" i="7" s="1"/>
  <c r="C3" i="8"/>
  <c r="E11" i="8"/>
  <c r="G11" i="8" s="1"/>
  <c r="E17" i="8"/>
  <c r="G17" i="8" s="1"/>
  <c r="D15" i="7"/>
  <c r="G15" i="7" s="1"/>
  <c r="C47" i="18"/>
  <c r="E47" i="18" s="1"/>
  <c r="G15" i="5"/>
  <c r="G15" i="6"/>
  <c r="G15" i="8"/>
  <c r="E21" i="8"/>
  <c r="G21" i="8" s="1"/>
  <c r="G22" i="10"/>
  <c r="F14" i="15"/>
  <c r="D16" i="15"/>
  <c r="F23" i="11"/>
  <c r="F27" i="11" s="1"/>
  <c r="D20" i="22"/>
  <c r="C41" i="18"/>
  <c r="G15" i="1"/>
  <c r="C29" i="18"/>
  <c r="D19" i="5"/>
  <c r="E19" i="5" s="1"/>
  <c r="G19" i="5" s="1"/>
  <c r="D20" i="5"/>
  <c r="D19" i="25"/>
  <c r="E19" i="25" s="1"/>
  <c r="E21" i="22"/>
  <c r="G21" i="22" s="1"/>
  <c r="G14" i="13"/>
  <c r="F23" i="24"/>
  <c r="G23" i="24" s="1"/>
  <c r="D27" i="11"/>
  <c r="D18" i="17" s="1"/>
  <c r="G22" i="3"/>
  <c r="D27" i="9"/>
  <c r="D20" i="17" s="1"/>
  <c r="G15" i="10"/>
  <c r="H21" i="23"/>
  <c r="I21" i="23" s="1"/>
  <c r="E19" i="23"/>
  <c r="G19" i="23" s="1"/>
  <c r="F22" i="12"/>
  <c r="F26" i="12" s="1"/>
  <c r="G10" i="24"/>
  <c r="E25" i="24"/>
  <c r="G25" i="24" s="1"/>
  <c r="F27" i="24"/>
  <c r="E21" i="1"/>
  <c r="E27" i="1" s="1"/>
  <c r="D27" i="20"/>
  <c r="D31" i="17" s="1"/>
  <c r="F23" i="7"/>
  <c r="F27" i="7" s="1"/>
  <c r="L15" i="18"/>
  <c r="J15" i="18"/>
  <c r="G15" i="18"/>
  <c r="E15" i="18"/>
  <c r="I15" i="18"/>
  <c r="H15" i="18"/>
  <c r="K15" i="18"/>
  <c r="F15" i="18"/>
  <c r="E18" i="10"/>
  <c r="G18" i="10" s="1"/>
  <c r="D19" i="4"/>
  <c r="C37" i="18"/>
  <c r="D20" i="4"/>
  <c r="E20" i="4" s="1"/>
  <c r="G20" i="4" s="1"/>
  <c r="H31" i="18"/>
  <c r="I31" i="18"/>
  <c r="G31" i="18"/>
  <c r="E31" i="18"/>
  <c r="K31" i="18"/>
  <c r="F31" i="18"/>
  <c r="J31" i="18"/>
  <c r="L31" i="18"/>
  <c r="F26" i="13"/>
  <c r="D27" i="1"/>
  <c r="D34" i="17" s="1"/>
  <c r="F23" i="1"/>
  <c r="F27" i="1" s="1"/>
  <c r="G23" i="1"/>
  <c r="E26" i="12"/>
  <c r="G9" i="12"/>
  <c r="E24" i="12"/>
  <c r="G24" i="12" s="1"/>
  <c r="G12" i="10"/>
  <c r="L39" i="18"/>
  <c r="E39" i="18"/>
  <c r="H39" i="18"/>
  <c r="K39" i="18"/>
  <c r="F39" i="18"/>
  <c r="I39" i="18"/>
  <c r="G39" i="18"/>
  <c r="J39" i="18"/>
  <c r="G15" i="25"/>
  <c r="G22" i="24"/>
  <c r="C19" i="18"/>
  <c r="G11" i="9"/>
  <c r="G19" i="3"/>
  <c r="G27" i="3" s="1"/>
  <c r="F29" i="17" s="1"/>
  <c r="C9" i="18"/>
  <c r="E21" i="24"/>
  <c r="G21" i="24" s="1"/>
  <c r="J47" i="18"/>
  <c r="E20" i="2"/>
  <c r="G20" i="2" s="1"/>
  <c r="C45" i="18"/>
  <c r="D20" i="21"/>
  <c r="E27" i="20"/>
  <c r="G20" i="20"/>
  <c r="G27" i="20" s="1"/>
  <c r="F31" i="17" s="1"/>
  <c r="I43" i="18"/>
  <c r="H43" i="18"/>
  <c r="J43" i="18"/>
  <c r="G43" i="18"/>
  <c r="F43" i="18"/>
  <c r="E43" i="18"/>
  <c r="K43" i="18"/>
  <c r="L43" i="18"/>
  <c r="E21" i="4"/>
  <c r="E20" i="24"/>
  <c r="G20" i="24" s="1"/>
  <c r="E19" i="24"/>
  <c r="D27" i="24"/>
  <c r="E20" i="25"/>
  <c r="G20" i="25"/>
  <c r="D27" i="25"/>
  <c r="E19" i="16"/>
  <c r="E27" i="16" s="1"/>
  <c r="D27" i="16"/>
  <c r="D13" i="17" s="1"/>
  <c r="K7" i="18"/>
  <c r="L7" i="18"/>
  <c r="I7" i="18"/>
  <c r="J7" i="18"/>
  <c r="E25" i="2"/>
  <c r="G10" i="2"/>
  <c r="G23" i="2"/>
  <c r="E25" i="11"/>
  <c r="G25" i="11" s="1"/>
  <c r="G10" i="11"/>
  <c r="E18" i="23"/>
  <c r="D27" i="23"/>
  <c r="D25" i="17" s="1"/>
  <c r="E25" i="23"/>
  <c r="G25" i="23" s="1"/>
  <c r="G10" i="23"/>
  <c r="F23" i="23"/>
  <c r="F27" i="23" s="1"/>
  <c r="E27" i="23" l="1"/>
  <c r="H7" i="18"/>
  <c r="G7" i="18"/>
  <c r="H47" i="18"/>
  <c r="G25" i="2"/>
  <c r="G61" i="21"/>
  <c r="G67" i="21" s="1"/>
  <c r="G60" i="20"/>
  <c r="G66" i="20" s="1"/>
  <c r="G100" i="20"/>
  <c r="G106" i="20" s="1"/>
  <c r="G126" i="11"/>
  <c r="E126" i="11"/>
  <c r="E76" i="11"/>
  <c r="G65" i="11"/>
  <c r="G76" i="11" s="1"/>
  <c r="G106" i="22"/>
  <c r="E106" i="22"/>
  <c r="G54" i="22"/>
  <c r="G66" i="22" s="1"/>
  <c r="E106" i="3"/>
  <c r="E67" i="3"/>
  <c r="G98" i="3"/>
  <c r="G106" i="3" s="1"/>
  <c r="G59" i="3"/>
  <c r="G67" i="3" s="1"/>
  <c r="E66" i="4"/>
  <c r="E99" i="4"/>
  <c r="G99" i="4" s="1"/>
  <c r="D106" i="4"/>
  <c r="G98" i="4"/>
  <c r="E98" i="4"/>
  <c r="G58" i="4"/>
  <c r="G66" i="4" s="1"/>
  <c r="E99" i="24"/>
  <c r="G99" i="24" s="1"/>
  <c r="G98" i="24"/>
  <c r="G106" i="24" s="1"/>
  <c r="E98" i="24"/>
  <c r="D106" i="24"/>
  <c r="E58" i="24"/>
  <c r="D66" i="24"/>
  <c r="E27" i="24"/>
  <c r="E98" i="25"/>
  <c r="D106" i="25"/>
  <c r="E99" i="25"/>
  <c r="G99" i="25" s="1"/>
  <c r="E59" i="25"/>
  <c r="G59" i="25"/>
  <c r="E58" i="25"/>
  <c r="G58" i="25" s="1"/>
  <c r="G66" i="25" s="1"/>
  <c r="E27" i="25"/>
  <c r="E98" i="23"/>
  <c r="H100" i="23"/>
  <c r="I100" i="23" s="1"/>
  <c r="D106" i="23"/>
  <c r="E99" i="23"/>
  <c r="G99" i="23" s="1"/>
  <c r="E66" i="23"/>
  <c r="G58" i="23"/>
  <c r="G66" i="23" s="1"/>
  <c r="E98" i="5"/>
  <c r="G98" i="5" s="1"/>
  <c r="E99" i="5"/>
  <c r="G99" i="5" s="1"/>
  <c r="D106" i="5"/>
  <c r="E59" i="5"/>
  <c r="G59" i="5" s="1"/>
  <c r="E58" i="5"/>
  <c r="G58" i="5" s="1"/>
  <c r="D66" i="5"/>
  <c r="D27" i="5"/>
  <c r="D24" i="17" s="1"/>
  <c r="G106" i="6"/>
  <c r="E106" i="6"/>
  <c r="E66" i="6"/>
  <c r="G55" i="6"/>
  <c r="G66" i="6" s="1"/>
  <c r="G96" i="7"/>
  <c r="G107" i="7" s="1"/>
  <c r="G56" i="7"/>
  <c r="G67" i="7" s="1"/>
  <c r="G55" i="8"/>
  <c r="G66" i="8" s="1"/>
  <c r="G60" i="10"/>
  <c r="G66" i="10" s="1"/>
  <c r="D65" i="15"/>
  <c r="E66" i="16"/>
  <c r="G66" i="16"/>
  <c r="G19" i="16"/>
  <c r="G27" i="16" s="1"/>
  <c r="F13" i="17" s="1"/>
  <c r="C25" i="18"/>
  <c r="I25" i="18" s="1"/>
  <c r="I47" i="18"/>
  <c r="K47" i="18"/>
  <c r="L47" i="18"/>
  <c r="D27" i="7"/>
  <c r="D22" i="17" s="1"/>
  <c r="E27" i="7"/>
  <c r="G47" i="18"/>
  <c r="F47" i="18"/>
  <c r="F25" i="18"/>
  <c r="J37" i="18"/>
  <c r="G37" i="18"/>
  <c r="I37" i="18"/>
  <c r="E37" i="18"/>
  <c r="L37" i="18"/>
  <c r="K37" i="18"/>
  <c r="F37" i="18"/>
  <c r="H37" i="18"/>
  <c r="F29" i="18"/>
  <c r="J29" i="18"/>
  <c r="I29" i="18"/>
  <c r="E29" i="18"/>
  <c r="L29" i="18"/>
  <c r="G29" i="18"/>
  <c r="K29" i="18"/>
  <c r="H29" i="18"/>
  <c r="H19" i="23"/>
  <c r="H20" i="23" s="1"/>
  <c r="M43" i="18"/>
  <c r="M39" i="18"/>
  <c r="E27" i="11"/>
  <c r="G19" i="25"/>
  <c r="G27" i="25" s="1"/>
  <c r="G19" i="24"/>
  <c r="G27" i="24" s="1"/>
  <c r="E20" i="9"/>
  <c r="E27" i="9" s="1"/>
  <c r="G20" i="9"/>
  <c r="G27" i="9" s="1"/>
  <c r="F20" i="17" s="1"/>
  <c r="M15" i="18"/>
  <c r="E20" i="5"/>
  <c r="E27" i="5" s="1"/>
  <c r="F16" i="15"/>
  <c r="D26" i="15"/>
  <c r="C26" i="15"/>
  <c r="D14" i="17" s="1"/>
  <c r="E20" i="22"/>
  <c r="E27" i="22" s="1"/>
  <c r="D27" i="22"/>
  <c r="D30" i="17" s="1"/>
  <c r="E19" i="4"/>
  <c r="E27" i="4" s="1"/>
  <c r="G18" i="23"/>
  <c r="D27" i="4"/>
  <c r="D28" i="17" s="1"/>
  <c r="J9" i="18"/>
  <c r="K9" i="18"/>
  <c r="H9" i="18"/>
  <c r="I9" i="18"/>
  <c r="L9" i="18"/>
  <c r="G9" i="18"/>
  <c r="F9" i="18"/>
  <c r="G20" i="7"/>
  <c r="G27" i="7" s="1"/>
  <c r="F22" i="17" s="1"/>
  <c r="H19" i="18"/>
  <c r="J19" i="18"/>
  <c r="F19" i="18"/>
  <c r="E19" i="18"/>
  <c r="K19" i="18"/>
  <c r="L19" i="18"/>
  <c r="I19" i="18"/>
  <c r="G19" i="18"/>
  <c r="M31" i="18"/>
  <c r="G23" i="7"/>
  <c r="G21" i="1"/>
  <c r="G27" i="1" s="1"/>
  <c r="F34" i="17" s="1"/>
  <c r="G22" i="12"/>
  <c r="G26" i="12" s="1"/>
  <c r="F17" i="17" s="1"/>
  <c r="I41" i="18"/>
  <c r="L41" i="18"/>
  <c r="H41" i="18"/>
  <c r="F41" i="18"/>
  <c r="K41" i="18"/>
  <c r="G41" i="18"/>
  <c r="J41" i="18"/>
  <c r="E41" i="18"/>
  <c r="G23" i="11"/>
  <c r="G27" i="11" s="1"/>
  <c r="F18" i="17" s="1"/>
  <c r="E20" i="21"/>
  <c r="E27" i="21" s="1"/>
  <c r="D27" i="21"/>
  <c r="D32" i="17" s="1"/>
  <c r="J45" i="18"/>
  <c r="E45" i="18"/>
  <c r="K45" i="18"/>
  <c r="L45" i="18"/>
  <c r="I45" i="18"/>
  <c r="F45" i="18"/>
  <c r="G45" i="18"/>
  <c r="H45" i="18"/>
  <c r="G21" i="4"/>
  <c r="M7" i="18"/>
  <c r="G27" i="2"/>
  <c r="F33" i="17" s="1"/>
  <c r="E27" i="2"/>
  <c r="G23" i="23"/>
  <c r="G27" i="23" l="1"/>
  <c r="F25" i="17" s="1"/>
  <c r="G106" i="4"/>
  <c r="E106" i="4"/>
  <c r="E106" i="24"/>
  <c r="G58" i="24"/>
  <c r="G66" i="24" s="1"/>
  <c r="E66" i="24"/>
  <c r="E106" i="25"/>
  <c r="G98" i="25"/>
  <c r="G106" i="25" s="1"/>
  <c r="E66" i="25"/>
  <c r="H98" i="23"/>
  <c r="H99" i="23" s="1"/>
  <c r="E106" i="23"/>
  <c r="G98" i="23"/>
  <c r="G106" i="23" s="1"/>
  <c r="G66" i="5"/>
  <c r="G106" i="5"/>
  <c r="E106" i="5"/>
  <c r="E66" i="5"/>
  <c r="H25" i="18"/>
  <c r="L25" i="18"/>
  <c r="M47" i="18"/>
  <c r="E25" i="18"/>
  <c r="G25" i="18"/>
  <c r="J25" i="18"/>
  <c r="K25" i="18"/>
  <c r="G20" i="21"/>
  <c r="G27" i="21" s="1"/>
  <c r="F32" i="17" s="1"/>
  <c r="G20" i="5"/>
  <c r="G27" i="5" s="1"/>
  <c r="F24" i="17" s="1"/>
  <c r="F19" i="15"/>
  <c r="F26" i="15" s="1"/>
  <c r="F14" i="17" s="1"/>
  <c r="M41" i="18"/>
  <c r="G19" i="4"/>
  <c r="M37" i="18"/>
  <c r="M19" i="18"/>
  <c r="M29" i="18"/>
  <c r="G27" i="4"/>
  <c r="F28" i="17" s="1"/>
  <c r="M9" i="18"/>
  <c r="G20" i="22"/>
  <c r="G27" i="22" s="1"/>
  <c r="F30" i="17" s="1"/>
  <c r="M45" i="18"/>
  <c r="M25" i="18" l="1"/>
  <c r="E19" i="14"/>
  <c r="E26" i="14" s="1"/>
  <c r="D26" i="14"/>
  <c r="D15" i="17" s="1"/>
  <c r="C11" i="18"/>
  <c r="J11" i="18" s="1"/>
  <c r="G19" i="14"/>
  <c r="G26" i="14" s="1"/>
  <c r="F15" i="17" s="1"/>
  <c r="K11" i="18" l="1"/>
  <c r="E11" i="18"/>
  <c r="H11" i="18"/>
  <c r="I11" i="18"/>
  <c r="L11" i="18"/>
  <c r="F11" i="18"/>
  <c r="G11" i="18"/>
  <c r="M11" i="18" l="1"/>
  <c r="E26" i="13"/>
  <c r="E19" i="13"/>
  <c r="D26" i="13"/>
  <c r="D16" i="17" s="1"/>
  <c r="C3" i="13"/>
  <c r="C13" i="18" s="1"/>
  <c r="G19" i="13"/>
  <c r="G26" i="13"/>
  <c r="F16" i="17" s="1"/>
  <c r="E13" i="18" l="1"/>
  <c r="L13" i="18"/>
  <c r="K13" i="18"/>
  <c r="I13" i="18"/>
  <c r="J13" i="18"/>
  <c r="G13" i="18"/>
  <c r="F13" i="18"/>
  <c r="H13" i="18"/>
  <c r="M13" i="18" l="1"/>
  <c r="E19" i="10"/>
  <c r="G19" i="10"/>
  <c r="E27" i="10"/>
  <c r="E20" i="10"/>
  <c r="D27" i="10"/>
  <c r="D19" i="17"/>
  <c r="G20" i="10"/>
  <c r="G27" i="10" s="1"/>
  <c r="F19" i="17" s="1"/>
  <c r="C21" i="18"/>
  <c r="H21" i="18" s="1"/>
  <c r="L21" i="18" l="1"/>
  <c r="J21" i="18"/>
  <c r="G21" i="18"/>
  <c r="I21" i="18"/>
  <c r="K21" i="18"/>
  <c r="F21" i="18"/>
  <c r="M21" i="18" l="1"/>
  <c r="G19" i="8" l="1"/>
  <c r="D27" i="8"/>
  <c r="D21" i="17" s="1"/>
  <c r="G20" i="8"/>
  <c r="G27" i="8" s="1"/>
  <c r="F21" i="17" s="1"/>
  <c r="C23" i="18"/>
  <c r="J23" i="18" l="1"/>
  <c r="E23" i="18"/>
  <c r="F23" i="18"/>
  <c r="I23" i="18"/>
  <c r="K23" i="18"/>
  <c r="G23" i="18"/>
  <c r="L23" i="18"/>
  <c r="H23" i="18"/>
  <c r="E27" i="8"/>
  <c r="M23" i="18" l="1"/>
  <c r="E27" i="6"/>
  <c r="D27" i="6"/>
  <c r="D23" i="17" s="1"/>
  <c r="D36" i="17" s="1"/>
  <c r="G20" i="6"/>
  <c r="G27" i="6" s="1"/>
  <c r="F23" i="17" s="1"/>
  <c r="F36" i="17" s="1"/>
  <c r="C27" i="18"/>
  <c r="I27" i="18" l="1"/>
  <c r="F27" i="18"/>
  <c r="K27" i="18"/>
  <c r="G27" i="18"/>
  <c r="H27" i="18"/>
  <c r="L27" i="18"/>
  <c r="J27" i="18"/>
  <c r="M27" i="18" l="1"/>
  <c r="M51" i="18" s="1"/>
  <c r="M53" i="18" s="1"/>
</calcChain>
</file>

<file path=xl/sharedStrings.xml><?xml version="1.0" encoding="utf-8"?>
<sst xmlns="http://schemas.openxmlformats.org/spreadsheetml/2006/main" count="2293" uniqueCount="199">
  <si>
    <t>Nombre</t>
  </si>
  <si>
    <t>Cuota Diaria</t>
  </si>
  <si>
    <t>Incapacidad</t>
  </si>
  <si>
    <t>Concepto</t>
  </si>
  <si>
    <t>Ingresos totales</t>
  </si>
  <si>
    <t>Exento</t>
  </si>
  <si>
    <t>No objeto</t>
  </si>
  <si>
    <t>Gravado</t>
  </si>
  <si>
    <t xml:space="preserve">Salario </t>
  </si>
  <si>
    <t>Aguinaldo</t>
  </si>
  <si>
    <t>Prima vacacional</t>
  </si>
  <si>
    <t>Prima dominical</t>
  </si>
  <si>
    <t>Tiempo extra</t>
  </si>
  <si>
    <t>P.T.U.</t>
  </si>
  <si>
    <t>Fondo de ahorro</t>
  </si>
  <si>
    <t>Becas</t>
  </si>
  <si>
    <t>Vales despensa</t>
  </si>
  <si>
    <t>S.Incap. Imss</t>
  </si>
  <si>
    <t>Cuotra obrera IMSS</t>
  </si>
  <si>
    <t>Ropa de Trabajo</t>
  </si>
  <si>
    <t>Serv. Comedor</t>
  </si>
  <si>
    <t>Viáticos</t>
  </si>
  <si>
    <t>Premio asistencia</t>
  </si>
  <si>
    <t>Nota:</t>
  </si>
  <si>
    <t>Javier Morales García</t>
  </si>
  <si>
    <t>Eusebio Jimenez García</t>
  </si>
  <si>
    <t>Ausentismo</t>
  </si>
  <si>
    <t>Filomeno Robles Zapien</t>
  </si>
  <si>
    <t>Jesus Aguirre Zapata</t>
  </si>
  <si>
    <t>Eleazar Osuna Hernández</t>
  </si>
  <si>
    <t>Elvira Ramírez Salas</t>
  </si>
  <si>
    <t>Enrique Olmos Hernández</t>
  </si>
  <si>
    <t>RT</t>
  </si>
  <si>
    <t>Jorge Aguilar Ayala</t>
  </si>
  <si>
    <t>Elena Tirado Gomez</t>
  </si>
  <si>
    <t>Juan Sanabria Gomez</t>
  </si>
  <si>
    <t>Ernesto Ramos Hernandez</t>
  </si>
  <si>
    <t>Joaquin Millan Abdala</t>
  </si>
  <si>
    <t xml:space="preserve">Ingresos </t>
  </si>
  <si>
    <t>Totales</t>
  </si>
  <si>
    <t xml:space="preserve">Ingreso </t>
  </si>
  <si>
    <t>CASO PRÁCTICO DECLARACIÓN ANUAL</t>
  </si>
  <si>
    <t xml:space="preserve">Límite </t>
  </si>
  <si>
    <t>Inferior</t>
  </si>
  <si>
    <t>Límite</t>
  </si>
  <si>
    <t>Superior</t>
  </si>
  <si>
    <t>Cuota</t>
  </si>
  <si>
    <t>Fija</t>
  </si>
  <si>
    <t>%</t>
  </si>
  <si>
    <t>en adelante</t>
  </si>
  <si>
    <t>Eleuterio</t>
  </si>
  <si>
    <t>Días</t>
  </si>
  <si>
    <t>Javier</t>
  </si>
  <si>
    <t>Eusebio</t>
  </si>
  <si>
    <t>Filomeno</t>
  </si>
  <si>
    <t>Eleazar</t>
  </si>
  <si>
    <t>Jesús</t>
  </si>
  <si>
    <t>Elvira</t>
  </si>
  <si>
    <t>Juana</t>
  </si>
  <si>
    <t>Enrique</t>
  </si>
  <si>
    <t>Jorge</t>
  </si>
  <si>
    <t>Elena</t>
  </si>
  <si>
    <t>Juan</t>
  </si>
  <si>
    <t>Ernesto</t>
  </si>
  <si>
    <t>Joaquín</t>
  </si>
  <si>
    <t>13.90 --- 14.55</t>
  </si>
  <si>
    <t>Excedente 3SMDF</t>
  </si>
  <si>
    <t>6 ----- 5.51</t>
  </si>
  <si>
    <t>Prest.Dinero</t>
  </si>
  <si>
    <t>ENFERMEDAD Y MATERNIDAD (TOPE 25SMDF)</t>
  </si>
  <si>
    <t>INV. Y VIDA</t>
  </si>
  <si>
    <t>GUARD Y PS</t>
  </si>
  <si>
    <t>CES Y VEJ</t>
  </si>
  <si>
    <t>(TOPE 16SMDF)</t>
  </si>
  <si>
    <t>(TOPE 25SMDF)</t>
  </si>
  <si>
    <t>RIESGO TRAB</t>
  </si>
  <si>
    <t>RETIRO</t>
  </si>
  <si>
    <t>INFONAVIT</t>
  </si>
  <si>
    <t>NOTAS:</t>
  </si>
  <si>
    <t>ENFERMEDAD Y MATERNIDAD No cotiza Incapacidad, Si cotiza Ausentismo</t>
  </si>
  <si>
    <t>INV Y VIDA, GUARD. Y P.S., CES Y VEJ, RIESGO TRABAJO No cotiza Incapacidad ni ausentismo</t>
  </si>
  <si>
    <t>RETIRO, INFONAVIT No cotiza ausentismo, Si cotiza Incapacidad</t>
  </si>
  <si>
    <t>CUOTA FIJA</t>
  </si>
  <si>
    <t>INVALIDEZ Y VIDA, CESANTIA Y VEJEZ, INFONAVIT el tope de cotización se aumenta un salario mínimo por año hasta llegar a 25 veces el SMDF</t>
  </si>
  <si>
    <t>CÁLCULO ANUAL DEL IMSS</t>
  </si>
  <si>
    <t xml:space="preserve"> </t>
  </si>
  <si>
    <t>del vale despensa se considera gravado.</t>
  </si>
  <si>
    <t>Por lo que en este ejemplo todo el importe</t>
  </si>
  <si>
    <t>elevado al año.</t>
  </si>
  <si>
    <t>Artículo 22 del RLISR.</t>
  </si>
  <si>
    <t>Los viáticos no comprobados se consideran gravados para el I.S.R.</t>
  </si>
  <si>
    <t>Sobre esta proyeccón de ingreso anual se sugiere aplicar el procedimiento de retención</t>
  </si>
  <si>
    <t>Riesgo de T.</t>
  </si>
  <si>
    <t>Juana Sanchez López</t>
  </si>
  <si>
    <t xml:space="preserve">50 domingos laborados </t>
  </si>
  <si>
    <t>50 domingos laborados</t>
  </si>
  <si>
    <t>La cifra máxima exenta en fondo de ahorro es el 1.3 veces el salario mínimo</t>
  </si>
  <si>
    <t>Ley del Impuesto sobre la Renta 2003</t>
  </si>
  <si>
    <t>Sumas</t>
  </si>
  <si>
    <t>Trabajador con jornada reducida</t>
  </si>
  <si>
    <t>previsto en el RLISR.</t>
  </si>
  <si>
    <t>Reembolso Gastos Medicos</t>
  </si>
  <si>
    <t>tope cotiz</t>
  </si>
  <si>
    <t>Eleuterio Jaso Hernandez</t>
  </si>
  <si>
    <t>S.B.C.</t>
  </si>
  <si>
    <t>Guadalupe Ramos de Colores</t>
  </si>
  <si>
    <t>Natalia González Hernández</t>
  </si>
  <si>
    <t>Luis Guevara Gómez</t>
  </si>
  <si>
    <t>Ana Gerardo Lira</t>
  </si>
  <si>
    <t>Rosa Rojo Lara</t>
  </si>
  <si>
    <t>Ema López García</t>
  </si>
  <si>
    <t>Jimena Robles Zapien</t>
  </si>
  <si>
    <t>Eugenia Juarez Salas</t>
  </si>
  <si>
    <t>Jimena</t>
  </si>
  <si>
    <t>Eugenia</t>
  </si>
  <si>
    <t>Ana</t>
  </si>
  <si>
    <t>Ema</t>
  </si>
  <si>
    <t>Rosa</t>
  </si>
  <si>
    <t>Luis</t>
  </si>
  <si>
    <t>Guadalupe</t>
  </si>
  <si>
    <t>Natalia</t>
  </si>
  <si>
    <t>CUOTA FIJA se incrementará el 1o. De Enero de cada año de 1998 al 2007 en 0.65%</t>
  </si>
  <si>
    <t>EXCEDENTE se reducirá en .49%  el 1o. De Enero de cada año a partir de 1998 al 2007.</t>
  </si>
  <si>
    <t>EXD. 3 SMG</t>
  </si>
  <si>
    <t>Suma de las</t>
  </si>
  <si>
    <t>Cuotas y Aport</t>
  </si>
  <si>
    <t>Patronales</t>
  </si>
  <si>
    <t>Suma:</t>
  </si>
  <si>
    <t>Crédito IETU</t>
  </si>
  <si>
    <t>Tasa IETU</t>
  </si>
  <si>
    <t>Premio puntualidad</t>
  </si>
  <si>
    <t>Maximo 7 SM</t>
  </si>
  <si>
    <t>7 SMA</t>
  </si>
  <si>
    <t>Gravado con ISR</t>
  </si>
  <si>
    <t>art.93</t>
  </si>
  <si>
    <t>Nota: La previsión social del art. 93 VIII, sólo es exenta hasta un salario mínimo anual.</t>
  </si>
  <si>
    <t>Artículo 27 de LISR.</t>
  </si>
  <si>
    <t>Artículo 152</t>
  </si>
  <si>
    <t>TOPE 25SMG</t>
  </si>
  <si>
    <t xml:space="preserve">*Compañía </t>
  </si>
  <si>
    <t>Título del Puesto</t>
  </si>
  <si>
    <t>Fecha de Ingreso</t>
  </si>
  <si>
    <t>Ant.</t>
  </si>
  <si>
    <t>Fecha de Nacimiento</t>
  </si>
  <si>
    <t>Sueldo Base</t>
  </si>
  <si>
    <t>Sueldo Diario</t>
  </si>
  <si>
    <t>Sueldo Diario Integrado</t>
  </si>
  <si>
    <t>Número de Pagos</t>
  </si>
  <si>
    <t>Dias de Vacaciones</t>
  </si>
  <si>
    <t>% Prima Vacacional</t>
  </si>
  <si>
    <t>Tipo de empleado</t>
  </si>
  <si>
    <t>Fondo de Ahorro</t>
  </si>
  <si>
    <t>% Prima Grado de Riesgo</t>
  </si>
  <si>
    <t>Sueldo Catorcenal</t>
  </si>
  <si>
    <t>Prima Dominical</t>
  </si>
  <si>
    <t>Festivo laborado</t>
  </si>
  <si>
    <t>Descanso laborado</t>
  </si>
  <si>
    <t>Total Percepciones</t>
  </si>
  <si>
    <t>I.S.R</t>
  </si>
  <si>
    <t>IMSS EYM/IY</t>
  </si>
  <si>
    <t>IMSS CYV</t>
  </si>
  <si>
    <t>Caja de Ahorro</t>
  </si>
  <si>
    <t>Total deducciones</t>
  </si>
  <si>
    <t>Neto a pagar</t>
  </si>
  <si>
    <t>Auxiliar de Panadería</t>
  </si>
  <si>
    <t>Confianza</t>
  </si>
  <si>
    <t>Subdirector</t>
  </si>
  <si>
    <t>* Cia 1 Operativos, Cia 2 Administrativos y Staff Bodega, Cia 3 Ejecutivos</t>
  </si>
  <si>
    <r>
      <rPr>
        <sz val="10"/>
        <color rgb="FF3333FF"/>
        <rFont val="Arial"/>
        <family val="2"/>
      </rPr>
      <t>Tabulador de horas extras:</t>
    </r>
    <r>
      <rPr>
        <sz val="10"/>
        <color theme="1"/>
        <rFont val="Arial"/>
        <family val="2"/>
      </rPr>
      <t xml:space="preserve"> se pagan conforme a Ley.</t>
    </r>
  </si>
  <si>
    <r>
      <rPr>
        <sz val="10"/>
        <color rgb="FF3333FF"/>
        <rFont val="Arial"/>
        <family val="2"/>
      </rPr>
      <t>Integración de otros pagos efectuados(pagos por fuera)</t>
    </r>
    <r>
      <rPr>
        <sz val="10"/>
        <color theme="1"/>
        <rFont val="Arial"/>
        <family val="2"/>
      </rPr>
      <t>: NA</t>
    </r>
  </si>
  <si>
    <r>
      <rPr>
        <sz val="10"/>
        <color rgb="FF3333FF"/>
        <rFont val="Arial"/>
        <family val="2"/>
      </rPr>
      <t>Contrato colectivo de trabajo y tipo de sindicato (en caso de existir)</t>
    </r>
    <r>
      <rPr>
        <sz val="10"/>
        <color theme="1"/>
        <rFont val="Arial"/>
        <family val="2"/>
      </rPr>
      <t>: Si existe contrato colectivo de trabajo, hay sindicato blanco.</t>
    </r>
  </si>
  <si>
    <r>
      <rPr>
        <sz val="10"/>
        <color rgb="FF3333FF"/>
        <rFont val="Arial"/>
        <family val="2"/>
      </rPr>
      <t>Esquema actual con el que remuneran a sus trabajadores:</t>
    </r>
    <r>
      <rPr>
        <sz val="10"/>
        <color theme="1"/>
        <rFont val="Arial"/>
        <family val="2"/>
      </rPr>
      <t xml:space="preserve"> Salarios</t>
    </r>
  </si>
  <si>
    <r>
      <rPr>
        <sz val="10"/>
        <color rgb="FF3333FF"/>
        <rFont val="Arial"/>
        <family val="2"/>
      </rPr>
      <t>En caso de existir un plan de previsión social:</t>
    </r>
    <r>
      <rPr>
        <sz val="10"/>
        <color theme="1"/>
        <rFont val="Arial"/>
        <family val="2"/>
      </rPr>
      <t xml:space="preserve">  si existe</t>
    </r>
  </si>
  <si>
    <r>
      <rPr>
        <sz val="10"/>
        <color rgb="FF3333FF"/>
        <rFont val="Arial"/>
        <family val="2"/>
      </rPr>
      <t>Porcentaje o monto del Fondo de Ahorro:</t>
    </r>
    <r>
      <rPr>
        <sz val="10"/>
        <color theme="1"/>
        <rFont val="Arial"/>
        <family val="2"/>
      </rPr>
      <t xml:space="preserve"> Cía 1 (1 año 7%, 2 años 9%, a partir del 3er año 13%) Cia 2 (13%) Cía 3 (13%), todas con tope de ley </t>
    </r>
  </si>
  <si>
    <r>
      <rPr>
        <sz val="10"/>
        <color rgb="FF3333FF"/>
        <rFont val="Arial"/>
        <family val="2"/>
      </rPr>
      <t>Porcentaje o monto de Vales de despensa:</t>
    </r>
    <r>
      <rPr>
        <sz val="10"/>
        <color theme="1"/>
        <rFont val="Arial"/>
        <family val="2"/>
      </rPr>
      <t xml:space="preserve"> Cía 1 (7%) Cía 2 (10%) cía 3 (10%)</t>
    </r>
  </si>
  <si>
    <r>
      <rPr>
        <sz val="10"/>
        <color rgb="FF3333FF"/>
        <rFont val="Arial"/>
        <family val="2"/>
      </rPr>
      <t>Porcentaje o monto de premios de puntualidad y asistencia:</t>
    </r>
    <r>
      <rPr>
        <sz val="10"/>
        <color theme="1"/>
        <rFont val="Arial"/>
        <family val="2"/>
      </rPr>
      <t xml:space="preserve"> NA</t>
    </r>
  </si>
  <si>
    <r>
      <rPr>
        <sz val="10"/>
        <color rgb="FF3333FF"/>
        <rFont val="Arial"/>
        <family val="2"/>
      </rPr>
      <t>Uniformes:</t>
    </r>
    <r>
      <rPr>
        <sz val="10"/>
        <color theme="1"/>
        <rFont val="Arial"/>
        <family val="2"/>
      </rPr>
      <t xml:space="preserve"> NA </t>
    </r>
  </si>
  <si>
    <r>
      <rPr>
        <sz val="10"/>
        <color rgb="FF3333FF"/>
        <rFont val="Arial"/>
        <family val="2"/>
      </rPr>
      <t>Otras Prestaciones</t>
    </r>
    <r>
      <rPr>
        <sz val="10"/>
        <color theme="1"/>
        <rFont val="Arial"/>
        <family val="2"/>
      </rPr>
      <t>: GMM y Seguro de Vida</t>
    </r>
  </si>
  <si>
    <t>Festivo Laborado</t>
  </si>
  <si>
    <t>Descanso Laborado</t>
  </si>
  <si>
    <t>Auxiliar General</t>
  </si>
  <si>
    <t>Auxiliar Cía 1</t>
  </si>
  <si>
    <t>X Cía 1</t>
  </si>
  <si>
    <t>Supervisor Cía 1</t>
  </si>
  <si>
    <t>Cía 2</t>
  </si>
  <si>
    <t>Cía 3</t>
  </si>
  <si>
    <t xml:space="preserve">Se estimaron en algunos casos 270 horas pagadas </t>
  </si>
  <si>
    <t>se elevaron al tope máximo del IMSS</t>
  </si>
  <si>
    <t>Se consideraron 10% para cada premio sobre salario integrado</t>
  </si>
  <si>
    <t>Se estimo a cada ejempolo un importe</t>
  </si>
  <si>
    <t>Se estimo un importe de viáticos comprobados y no comprobados</t>
  </si>
  <si>
    <t>Se consideró un reembolso de gastos médicos</t>
  </si>
  <si>
    <t>Salario mínimo</t>
  </si>
  <si>
    <r>
      <t xml:space="preserve">Vales de Despensa </t>
    </r>
    <r>
      <rPr>
        <b/>
        <sz val="10"/>
        <color rgb="FFFF0000"/>
        <rFont val="Arial"/>
        <family val="2"/>
      </rPr>
      <t>con tope de ley por mes</t>
    </r>
  </si>
  <si>
    <t>UMA.</t>
  </si>
  <si>
    <t>TOPE 25 UMA</t>
  </si>
  <si>
    <t>Año 2018</t>
  </si>
  <si>
    <t>Año 2018+C54</t>
  </si>
  <si>
    <t>TOPE 25UMA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</si>
</sst>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\/mm\/yyyy"/>
    <numFmt numFmtId="165" formatCode="#,##0.0000"/>
    <numFmt numFmtId="166" formatCode="0.0"/>
  </numFmts>
  <fonts count="17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b/>
      <sz val="6"/>
      <name val="Comic Sans MS"/>
      <family val="4"/>
    </font>
    <font>
      <b/>
      <sz val="8"/>
      <name val="Comic Sans MS"/>
      <family val="4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3333FF"/>
      <name val="Arial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9"/>
        <bgColor theme="9" tint="0.79998168889431442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8" tint="0.59999389629810485"/>
      </patternFill>
    </fill>
    <fill>
      <patternFill patternType="solid">
        <fgColor theme="8" tint="0.59999389629810485"/>
        <bgColor indexed="9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10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7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6" fillId="0" borderId="11" xfId="0" applyFont="1" applyBorder="1"/>
    <xf numFmtId="0" fontId="7" fillId="0" borderId="12" xfId="0" applyFont="1" applyBorder="1"/>
    <xf numFmtId="0" fontId="6" fillId="0" borderId="9" xfId="0" applyFont="1" applyBorder="1"/>
    <xf numFmtId="0" fontId="6" fillId="0" borderId="13" xfId="0" applyFont="1" applyBorder="1"/>
    <xf numFmtId="4" fontId="2" fillId="0" borderId="0" xfId="0" applyNumberFormat="1" applyFont="1"/>
    <xf numFmtId="4" fontId="2" fillId="0" borderId="0" xfId="1" applyNumberFormat="1" applyFont="1"/>
    <xf numFmtId="4" fontId="2" fillId="0" borderId="0" xfId="1" applyNumberFormat="1" applyFont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0" fontId="6" fillId="0" borderId="7" xfId="0" applyFont="1" applyBorder="1"/>
    <xf numFmtId="0" fontId="6" fillId="0" borderId="2" xfId="0" applyFont="1" applyBorder="1"/>
    <xf numFmtId="0" fontId="5" fillId="0" borderId="0" xfId="0" applyFont="1" applyBorder="1"/>
    <xf numFmtId="43" fontId="5" fillId="0" borderId="7" xfId="0" applyNumberFormat="1" applyFont="1" applyBorder="1"/>
    <xf numFmtId="4" fontId="5" fillId="0" borderId="7" xfId="0" applyNumberFormat="1" applyFont="1" applyBorder="1"/>
    <xf numFmtId="43" fontId="5" fillId="0" borderId="14" xfId="0" applyNumberFormat="1" applyFont="1" applyBorder="1"/>
    <xf numFmtId="43" fontId="0" fillId="0" borderId="15" xfId="1" applyFont="1" applyFill="1" applyBorder="1"/>
    <xf numFmtId="43" fontId="0" fillId="0" borderId="16" xfId="1" applyFont="1" applyFill="1" applyBorder="1"/>
    <xf numFmtId="0" fontId="0" fillId="0" borderId="0" xfId="0" applyFill="1" applyAlignment="1">
      <alignment horizontal="center"/>
    </xf>
    <xf numFmtId="43" fontId="0" fillId="0" borderId="0" xfId="1" applyFont="1" applyFill="1"/>
    <xf numFmtId="9" fontId="7" fillId="0" borderId="9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43" fontId="5" fillId="0" borderId="0" xfId="0" applyNumberFormat="1" applyFont="1"/>
    <xf numFmtId="10" fontId="2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10" fillId="2" borderId="17" xfId="3" applyFont="1" applyFill="1" applyBorder="1" applyAlignment="1" applyProtection="1">
      <alignment horizontal="center" vertical="center" wrapText="1"/>
    </xf>
    <xf numFmtId="0" fontId="10" fillId="2" borderId="18" xfId="3" applyNumberFormat="1" applyFont="1" applyFill="1" applyBorder="1" applyAlignment="1" applyProtection="1">
      <alignment horizontal="center" vertical="center" wrapText="1"/>
    </xf>
    <xf numFmtId="0" fontId="10" fillId="2" borderId="18" xfId="3" applyFont="1" applyFill="1" applyBorder="1" applyAlignment="1" applyProtection="1">
      <alignment horizontal="center" vertical="center" wrapText="1"/>
    </xf>
    <xf numFmtId="0" fontId="10" fillId="3" borderId="18" xfId="3" applyFont="1" applyFill="1" applyBorder="1" applyAlignment="1" applyProtection="1">
      <alignment horizontal="center" vertical="center" wrapText="1"/>
    </xf>
    <xf numFmtId="0" fontId="10" fillId="4" borderId="18" xfId="3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>
      <alignment horizontal="center"/>
    </xf>
    <xf numFmtId="0" fontId="10" fillId="6" borderId="18" xfId="3" applyFont="1" applyFill="1" applyBorder="1" applyAlignment="1" applyProtection="1">
      <alignment horizontal="center" vertical="center" wrapText="1"/>
    </xf>
    <xf numFmtId="0" fontId="10" fillId="7" borderId="18" xfId="3" applyFont="1" applyFill="1" applyBorder="1" applyAlignment="1" applyProtection="1">
      <alignment horizontal="center" vertical="center" wrapText="1"/>
    </xf>
    <xf numFmtId="0" fontId="10" fillId="7" borderId="19" xfId="3" applyFont="1" applyFill="1" applyBorder="1" applyAlignment="1" applyProtection="1">
      <alignment horizontal="center" vertical="center" wrapText="1"/>
    </xf>
    <xf numFmtId="0" fontId="12" fillId="5" borderId="20" xfId="3" applyNumberFormat="1" applyFont="1" applyFill="1" applyBorder="1" applyAlignment="1" applyProtection="1">
      <alignment horizontal="left"/>
      <protection locked="0"/>
    </xf>
    <xf numFmtId="49" fontId="12" fillId="5" borderId="21" xfId="3" applyNumberFormat="1" applyFont="1" applyFill="1" applyBorder="1" applyProtection="1">
      <protection locked="0"/>
    </xf>
    <xf numFmtId="164" fontId="14" fillId="5" borderId="21" xfId="4" applyNumberFormat="1" applyFont="1" applyFill="1" applyBorder="1" applyAlignment="1">
      <alignment horizontal="center" vertical="center"/>
    </xf>
    <xf numFmtId="4" fontId="12" fillId="5" borderId="21" xfId="3" applyNumberFormat="1" applyFont="1" applyFill="1" applyBorder="1" applyProtection="1">
      <protection locked="0"/>
    </xf>
    <xf numFmtId="4" fontId="12" fillId="5" borderId="22" xfId="3" applyNumberFormat="1" applyFont="1" applyFill="1" applyBorder="1" applyProtection="1">
      <protection locked="0"/>
    </xf>
    <xf numFmtId="0" fontId="12" fillId="5" borderId="20" xfId="3" applyNumberFormat="1" applyFont="1" applyFill="1" applyBorder="1" applyAlignment="1" applyProtection="1">
      <alignment horizontal="center"/>
      <protection locked="0"/>
    </xf>
    <xf numFmtId="43" fontId="14" fillId="5" borderId="21" xfId="1" applyFont="1" applyFill="1" applyBorder="1" applyAlignment="1">
      <alignment horizontal="center" vertical="center"/>
    </xf>
    <xf numFmtId="0" fontId="9" fillId="5" borderId="21" xfId="0" applyFont="1" applyFill="1" applyBorder="1"/>
    <xf numFmtId="43" fontId="9" fillId="5" borderId="21" xfId="1" applyFont="1" applyFill="1" applyBorder="1"/>
    <xf numFmtId="43" fontId="9" fillId="5" borderId="22" xfId="1" applyFont="1" applyFill="1" applyBorder="1"/>
    <xf numFmtId="165" fontId="12" fillId="5" borderId="21" xfId="3" applyNumberFormat="1" applyFont="1" applyFill="1" applyBorder="1" applyProtection="1">
      <protection locked="0"/>
    </xf>
    <xf numFmtId="4" fontId="12" fillId="5" borderId="21" xfId="3" quotePrefix="1" applyNumberFormat="1" applyFont="1" applyFill="1" applyBorder="1" applyProtection="1">
      <protection locked="0"/>
    </xf>
    <xf numFmtId="49" fontId="12" fillId="5" borderId="23" xfId="3" applyNumberFormat="1" applyFont="1" applyFill="1" applyBorder="1" applyProtection="1">
      <protection locked="0"/>
    </xf>
    <xf numFmtId="0" fontId="12" fillId="5" borderId="0" xfId="3" applyNumberFormat="1" applyFont="1" applyFill="1" applyAlignment="1" applyProtection="1">
      <alignment horizontal="left"/>
      <protection locked="0"/>
    </xf>
    <xf numFmtId="49" fontId="12" fillId="5" borderId="0" xfId="3" applyNumberFormat="1" applyFont="1" applyFill="1" applyProtection="1">
      <protection locked="0"/>
    </xf>
    <xf numFmtId="164" fontId="14" fillId="5" borderId="0" xfId="4" applyNumberFormat="1" applyFont="1" applyFill="1" applyAlignment="1">
      <alignment horizontal="center" vertical="center"/>
    </xf>
    <xf numFmtId="1" fontId="12" fillId="5" borderId="0" xfId="3" applyNumberFormat="1" applyFont="1" applyFill="1" applyAlignment="1" applyProtection="1">
      <alignment horizontal="center"/>
      <protection locked="0"/>
    </xf>
    <xf numFmtId="4" fontId="12" fillId="5" borderId="0" xfId="3" applyNumberFormat="1" applyFont="1" applyFill="1" applyProtection="1">
      <protection locked="0"/>
    </xf>
    <xf numFmtId="4" fontId="12" fillId="5" borderId="0" xfId="3" applyNumberFormat="1" applyFont="1" applyFill="1" applyAlignment="1" applyProtection="1">
      <alignment horizontal="center"/>
      <protection locked="0"/>
    </xf>
    <xf numFmtId="3" fontId="12" fillId="5" borderId="0" xfId="3" applyNumberFormat="1" applyFont="1" applyFill="1" applyAlignment="1" applyProtection="1">
      <alignment horizontal="center"/>
      <protection locked="0"/>
    </xf>
    <xf numFmtId="43" fontId="12" fillId="5" borderId="0" xfId="1" applyFont="1" applyFill="1" applyAlignment="1" applyProtection="1">
      <alignment horizontal="center"/>
      <protection locked="0"/>
    </xf>
    <xf numFmtId="165" fontId="12" fillId="5" borderId="0" xfId="3" applyNumberFormat="1" applyFont="1" applyFill="1" applyProtection="1">
      <protection locked="0"/>
    </xf>
    <xf numFmtId="43" fontId="9" fillId="5" borderId="0" xfId="1" applyFont="1" applyFill="1"/>
    <xf numFmtId="0" fontId="15" fillId="5" borderId="0" xfId="3" applyNumberFormat="1" applyFont="1" applyFill="1" applyAlignment="1" applyProtection="1">
      <alignment horizontal="left"/>
      <protection locked="0"/>
    </xf>
    <xf numFmtId="43" fontId="12" fillId="5" borderId="0" xfId="1" applyFont="1" applyFill="1" applyProtection="1">
      <protection locked="0"/>
    </xf>
    <xf numFmtId="166" fontId="12" fillId="5" borderId="0" xfId="3" applyNumberFormat="1" applyFont="1" applyFill="1" applyAlignment="1" applyProtection="1">
      <alignment horizontal="center"/>
      <protection locked="0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49" fontId="2" fillId="0" borderId="0" xfId="0" applyNumberFormat="1" applyFont="1"/>
    <xf numFmtId="0" fontId="10" fillId="2" borderId="24" xfId="3" applyFont="1" applyFill="1" applyBorder="1" applyAlignment="1" applyProtection="1">
      <alignment horizontal="center" vertical="center" wrapText="1"/>
    </xf>
    <xf numFmtId="0" fontId="10" fillId="2" borderId="25" xfId="3" applyNumberFormat="1" applyFont="1" applyFill="1" applyBorder="1" applyAlignment="1" applyProtection="1">
      <alignment horizontal="center" vertical="center" wrapText="1"/>
    </xf>
    <xf numFmtId="0" fontId="10" fillId="2" borderId="25" xfId="3" applyFont="1" applyFill="1" applyBorder="1" applyAlignment="1" applyProtection="1">
      <alignment horizontal="center" vertical="center" wrapText="1"/>
    </xf>
    <xf numFmtId="0" fontId="10" fillId="3" borderId="25" xfId="3" applyFont="1" applyFill="1" applyBorder="1" applyAlignment="1" applyProtection="1">
      <alignment horizontal="center" vertical="center" wrapText="1"/>
    </xf>
    <xf numFmtId="0" fontId="10" fillId="4" borderId="25" xfId="3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>
      <alignment horizontal="center"/>
    </xf>
    <xf numFmtId="0" fontId="10" fillId="6" borderId="25" xfId="3" applyFont="1" applyFill="1" applyBorder="1" applyAlignment="1" applyProtection="1">
      <alignment horizontal="center" vertical="center" wrapText="1"/>
    </xf>
    <xf numFmtId="0" fontId="10" fillId="7" borderId="25" xfId="3" applyFont="1" applyFill="1" applyBorder="1" applyAlignment="1" applyProtection="1">
      <alignment horizontal="center" vertical="center" wrapText="1"/>
    </xf>
    <xf numFmtId="0" fontId="10" fillId="7" borderId="26" xfId="3" applyFont="1" applyFill="1" applyBorder="1" applyAlignment="1" applyProtection="1">
      <alignment horizontal="center" vertical="center" wrapText="1"/>
    </xf>
    <xf numFmtId="43" fontId="10" fillId="3" borderId="25" xfId="1" applyFont="1" applyFill="1" applyBorder="1" applyAlignment="1" applyProtection="1">
      <alignment horizontal="center" vertical="center" wrapText="1"/>
    </xf>
    <xf numFmtId="43" fontId="12" fillId="5" borderId="21" xfId="1" applyFont="1" applyFill="1" applyBorder="1" applyProtection="1">
      <protection locked="0"/>
    </xf>
    <xf numFmtId="43" fontId="12" fillId="5" borderId="23" xfId="1" applyFont="1" applyFill="1" applyBorder="1" applyProtection="1">
      <protection locked="0"/>
    </xf>
    <xf numFmtId="9" fontId="10" fillId="4" borderId="25" xfId="2" applyFont="1" applyFill="1" applyBorder="1" applyAlignment="1" applyProtection="1">
      <alignment horizontal="center" vertical="center" wrapText="1"/>
    </xf>
    <xf numFmtId="43" fontId="10" fillId="4" borderId="25" xfId="1" applyFont="1" applyFill="1" applyBorder="1" applyAlignment="1" applyProtection="1">
      <alignment horizontal="center" vertical="center" wrapText="1"/>
    </xf>
    <xf numFmtId="0" fontId="4" fillId="0" borderId="0" xfId="0" applyFont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15</xdr:col>
      <xdr:colOff>333375</xdr:colOff>
      <xdr:row>30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685800"/>
          <a:ext cx="6429375" cy="51720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s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Joaqu&#237;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uterio"/>
      <sheetName val="Javier"/>
      <sheetName val="Eusebio"/>
      <sheetName val="Jimena"/>
      <sheetName val="Eugenia"/>
      <sheetName val="Filomeno"/>
      <sheetName val="Jesus"/>
      <sheetName val="Eleazar"/>
      <sheetName val="Elvira"/>
      <sheetName val="Juana"/>
      <sheetName val="Enrique"/>
      <sheetName val="Jorge"/>
      <sheetName val="Ana"/>
      <sheetName val="Ema "/>
      <sheetName val="Rosa "/>
      <sheetName val="Elena"/>
      <sheetName val="Juan"/>
      <sheetName val="Luis"/>
      <sheetName val="Guadalupe"/>
      <sheetName val="Natalia"/>
      <sheetName val="Ernesto"/>
      <sheetName val="Joaquin"/>
      <sheetName val="Tarifa03"/>
      <sheetName val="IMSS"/>
      <sheetName val="Resumen"/>
      <sheetName val="E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>
        <row r="1">
          <cell r="C1" t="str">
            <v>Ema López García</v>
          </cell>
        </row>
        <row r="3">
          <cell r="C3">
            <v>327.85797945205479</v>
          </cell>
        </row>
        <row r="26">
          <cell r="D26">
            <v>210867.59797979458</v>
          </cell>
          <cell r="G26">
            <v>121044.0775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uterio"/>
      <sheetName val="Javier"/>
      <sheetName val="Eusebio"/>
      <sheetName val="Jimena"/>
      <sheetName val="Eugenia"/>
      <sheetName val="Filomeno"/>
      <sheetName val="Jesus"/>
      <sheetName val="Eleazar"/>
      <sheetName val="Elvira"/>
      <sheetName val="Juana"/>
      <sheetName val="Enrique"/>
      <sheetName val="Jorge"/>
      <sheetName val="Ana"/>
      <sheetName val="Ema "/>
      <sheetName val="Rosa "/>
      <sheetName val="Elena"/>
      <sheetName val="Juan"/>
      <sheetName val="Luis"/>
      <sheetName val="Guadalupe"/>
      <sheetName val="Natalia"/>
      <sheetName val="Ernesto"/>
      <sheetName val="Joaquin"/>
      <sheetName val="Tarifa03"/>
      <sheetName val="IMSS"/>
      <sheetName val="Resumen"/>
      <sheetName val="Ro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 t="str">
            <v>Rosa Rojo Lara</v>
          </cell>
        </row>
        <row r="3">
          <cell r="C3">
            <v>327.85797945205479</v>
          </cell>
        </row>
        <row r="26">
          <cell r="D26">
            <v>212319.15950308222</v>
          </cell>
          <cell r="G26">
            <v>123977.44749999999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uterio"/>
      <sheetName val="Javier"/>
      <sheetName val="Eusebio"/>
      <sheetName val="Jimena"/>
      <sheetName val="Eugenia"/>
      <sheetName val="Filomeno"/>
      <sheetName val="Jesus"/>
      <sheetName val="Eleazar"/>
      <sheetName val="Elvira"/>
      <sheetName val="Juana"/>
      <sheetName val="Enrique"/>
      <sheetName val="Jorge"/>
      <sheetName val="Ana"/>
      <sheetName val="Ema "/>
      <sheetName val="Rosa "/>
      <sheetName val="Elena"/>
      <sheetName val="Juan"/>
      <sheetName val="Luis"/>
      <sheetName val="Guadalupe"/>
      <sheetName val="Natalia"/>
      <sheetName val="Ernesto"/>
      <sheetName val="Joaquin"/>
      <sheetName val="Tarifa03"/>
      <sheetName val="IMS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C3">
            <v>793.15068493150682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69"/>
  <sheetViews>
    <sheetView tabSelected="1" topLeftCell="A24" workbookViewId="0">
      <selection activeCell="D34" sqref="D34"/>
    </sheetView>
  </sheetViews>
  <sheetFormatPr defaultColWidth="11.42578125" defaultRowHeight="15" x14ac:dyDescent="0.3"/>
  <cols>
    <col min="1" max="1" width="6.42578125" style="1" customWidth="1"/>
    <col min="2" max="2" width="11.85546875" style="1" bestFit="1" customWidth="1"/>
    <col min="3" max="3" width="23.85546875" style="1" bestFit="1" customWidth="1"/>
    <col min="4" max="4" width="15.5703125" style="1" bestFit="1" customWidth="1"/>
    <col min="5" max="5" width="13.42578125" style="1" customWidth="1"/>
    <col min="6" max="6" width="13.28515625" style="1" customWidth="1"/>
    <col min="7" max="7" width="13.140625" style="1" customWidth="1"/>
    <col min="8" max="16384" width="11.42578125" style="1"/>
  </cols>
  <sheetData>
    <row r="1" spans="2:7" x14ac:dyDescent="0.3">
      <c r="B1" s="1" t="s">
        <v>0</v>
      </c>
      <c r="C1" s="1" t="s">
        <v>103</v>
      </c>
      <c r="D1" s="62" t="s">
        <v>180</v>
      </c>
    </row>
    <row r="2" spans="2:7" x14ac:dyDescent="0.3">
      <c r="B2" s="1" t="s">
        <v>1</v>
      </c>
      <c r="C2" s="2">
        <f>+'Tab-2018'!I2</f>
        <v>80</v>
      </c>
      <c r="E2" s="1" t="s">
        <v>194</v>
      </c>
      <c r="F2" s="33">
        <v>80.599999999999994</v>
      </c>
    </row>
    <row r="3" spans="2:7" x14ac:dyDescent="0.3">
      <c r="B3" s="1" t="s">
        <v>104</v>
      </c>
      <c r="C3" s="2">
        <f>((C2*366)+D10+D11+D12)/366+C2*0.0833</f>
        <v>105.05197814207651</v>
      </c>
      <c r="E3" s="1" t="s">
        <v>102</v>
      </c>
      <c r="F3" s="2">
        <f>+F2*25</f>
        <v>2014.9999999999998</v>
      </c>
    </row>
    <row r="4" spans="2:7" x14ac:dyDescent="0.3">
      <c r="B4" s="1" t="s">
        <v>2</v>
      </c>
      <c r="C4" s="1">
        <v>15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x14ac:dyDescent="0.3">
      <c r="E8" s="1" t="s">
        <v>134</v>
      </c>
    </row>
    <row r="9" spans="2:7" x14ac:dyDescent="0.3">
      <c r="C9" s="1" t="s">
        <v>8</v>
      </c>
      <c r="D9" s="2">
        <f>(C2*366)-(C4*C2)</f>
        <v>28080</v>
      </c>
      <c r="E9" s="2"/>
      <c r="F9" s="2"/>
      <c r="G9" s="2">
        <f>D9-E9-F9</f>
        <v>28080</v>
      </c>
    </row>
    <row r="10" spans="2:7" x14ac:dyDescent="0.3">
      <c r="C10" s="1" t="s">
        <v>9</v>
      </c>
      <c r="D10" s="2">
        <f>C2*30</f>
        <v>2400</v>
      </c>
      <c r="E10" s="2">
        <f>+D10</f>
        <v>2400</v>
      </c>
      <c r="F10" s="2"/>
      <c r="G10" s="2">
        <f t="shared" ref="G10:G24" si="0">D10-E10-F10</f>
        <v>0</v>
      </c>
    </row>
    <row r="11" spans="2:7" x14ac:dyDescent="0.3">
      <c r="C11" s="1" t="s">
        <v>10</v>
      </c>
      <c r="D11" s="2">
        <f>C2*15*0.25</f>
        <v>300</v>
      </c>
      <c r="E11" s="2">
        <f>+D11</f>
        <v>300</v>
      </c>
      <c r="F11" s="2"/>
      <c r="G11" s="2">
        <f>D11-E11-F11</f>
        <v>0</v>
      </c>
    </row>
    <row r="12" spans="2:7" x14ac:dyDescent="0.3">
      <c r="C12" s="1" t="s">
        <v>11</v>
      </c>
      <c r="D12" s="2">
        <f>+F2*50</f>
        <v>4029.9999999999995</v>
      </c>
      <c r="E12" s="2">
        <f>+F2*50</f>
        <v>4029.9999999999995</v>
      </c>
      <c r="F12" s="2"/>
      <c r="G12" s="2">
        <f t="shared" si="0"/>
        <v>0</v>
      </c>
    </row>
    <row r="13" spans="2:7" x14ac:dyDescent="0.3">
      <c r="C13" s="1" t="s">
        <v>12</v>
      </c>
      <c r="D13" s="2">
        <f>+F2/8*270*2</f>
        <v>5440.5</v>
      </c>
      <c r="E13" s="2">
        <f>+D13</f>
        <v>5440.5</v>
      </c>
      <c r="F13" s="2"/>
      <c r="G13" s="2">
        <f t="shared" si="0"/>
        <v>0</v>
      </c>
    </row>
    <row r="14" spans="2:7" x14ac:dyDescent="0.3">
      <c r="C14" s="1" t="s">
        <v>13</v>
      </c>
      <c r="D14" s="2">
        <v>620</v>
      </c>
      <c r="E14" s="2">
        <v>620</v>
      </c>
      <c r="F14" s="2"/>
      <c r="G14" s="2">
        <f t="shared" si="0"/>
        <v>0</v>
      </c>
    </row>
    <row r="15" spans="2:7" x14ac:dyDescent="0.3">
      <c r="C15" s="1" t="s">
        <v>14</v>
      </c>
      <c r="D15" s="2">
        <f>SUM(D9:D12)*13%</f>
        <v>4525.3</v>
      </c>
      <c r="E15" s="2">
        <f>+D15</f>
        <v>4525.3</v>
      </c>
      <c r="F15" s="2"/>
      <c r="G15" s="2">
        <f t="shared" si="0"/>
        <v>0</v>
      </c>
    </row>
    <row r="16" spans="2:7" x14ac:dyDescent="0.3">
      <c r="C16" s="1" t="s">
        <v>15</v>
      </c>
      <c r="D16" s="2">
        <v>24000</v>
      </c>
      <c r="E16" s="2">
        <f>+D16</f>
        <v>24000</v>
      </c>
      <c r="F16" s="2"/>
      <c r="G16" s="2">
        <f t="shared" si="0"/>
        <v>0</v>
      </c>
    </row>
    <row r="17" spans="3:7" x14ac:dyDescent="0.3">
      <c r="C17" s="1" t="s">
        <v>16</v>
      </c>
      <c r="D17" s="2">
        <f>+F2*365*40%</f>
        <v>11767.599999999999</v>
      </c>
      <c r="E17" s="2">
        <f>+D17</f>
        <v>11767.599999999999</v>
      </c>
      <c r="F17" s="2"/>
      <c r="G17" s="2">
        <f t="shared" si="0"/>
        <v>0</v>
      </c>
    </row>
    <row r="18" spans="3:7" x14ac:dyDescent="0.3">
      <c r="C18" s="1" t="s">
        <v>101</v>
      </c>
      <c r="D18" s="2">
        <f>SUM(D9:D12)*25%</f>
        <v>8702.5</v>
      </c>
      <c r="E18" s="2">
        <f>D18</f>
        <v>8702.5</v>
      </c>
      <c r="F18" s="2"/>
      <c r="G18" s="2">
        <f t="shared" si="0"/>
        <v>0</v>
      </c>
    </row>
    <row r="19" spans="3:7" x14ac:dyDescent="0.3">
      <c r="C19" s="1" t="s">
        <v>17</v>
      </c>
      <c r="D19" s="2">
        <f>C3*C4*60%</f>
        <v>945.46780327868851</v>
      </c>
      <c r="E19" s="2">
        <f>D19</f>
        <v>945.46780327868851</v>
      </c>
      <c r="F19" s="2"/>
      <c r="G19" s="2">
        <f t="shared" si="0"/>
        <v>0</v>
      </c>
    </row>
    <row r="20" spans="3:7" x14ac:dyDescent="0.3">
      <c r="C20" s="1" t="s">
        <v>18</v>
      </c>
      <c r="D20" s="2">
        <f>SUM(D9:D12)*3.365%</f>
        <v>1171.3564999999999</v>
      </c>
      <c r="E20" s="2">
        <f>D20</f>
        <v>1171.3564999999999</v>
      </c>
      <c r="F20" s="2"/>
      <c r="G20" s="2">
        <f t="shared" si="0"/>
        <v>0</v>
      </c>
    </row>
    <row r="21" spans="3:7" x14ac:dyDescent="0.3">
      <c r="C21" s="1" t="s">
        <v>19</v>
      </c>
      <c r="D21" s="2">
        <v>18000</v>
      </c>
      <c r="E21" s="2"/>
      <c r="F21" s="2">
        <f>D21</f>
        <v>18000</v>
      </c>
      <c r="G21" s="2">
        <f t="shared" si="0"/>
        <v>0</v>
      </c>
    </row>
    <row r="22" spans="3:7" x14ac:dyDescent="0.3">
      <c r="C22" s="1" t="s">
        <v>20</v>
      </c>
      <c r="D22" s="2">
        <f>+F2*275</f>
        <v>22165</v>
      </c>
      <c r="E22" s="2"/>
      <c r="F22" s="2">
        <f>D22</f>
        <v>22165</v>
      </c>
      <c r="G22" s="2">
        <f t="shared" si="0"/>
        <v>0</v>
      </c>
    </row>
    <row r="23" spans="3:7" x14ac:dyDescent="0.3">
      <c r="C23" s="1" t="s">
        <v>21</v>
      </c>
      <c r="D23" s="2">
        <v>25000</v>
      </c>
      <c r="E23" s="2">
        <v>20000</v>
      </c>
      <c r="F23" s="2">
        <f>+D23-E23</f>
        <v>5000</v>
      </c>
      <c r="G23" s="2">
        <f t="shared" si="0"/>
        <v>0</v>
      </c>
    </row>
    <row r="24" spans="3:7" x14ac:dyDescent="0.3">
      <c r="C24" s="1" t="s">
        <v>22</v>
      </c>
      <c r="D24" s="2">
        <f>SUM(D9:D12)*10%</f>
        <v>3481</v>
      </c>
      <c r="E24" s="2">
        <f>F2*30-E10</f>
        <v>18</v>
      </c>
      <c r="F24" s="2"/>
      <c r="G24" s="2">
        <f t="shared" si="0"/>
        <v>3463</v>
      </c>
    </row>
    <row r="25" spans="3:7" x14ac:dyDescent="0.3">
      <c r="C25" s="1" t="s">
        <v>130</v>
      </c>
      <c r="D25" s="2">
        <f>SUM(D9:D12)*10%</f>
        <v>3481</v>
      </c>
      <c r="E25" s="2"/>
      <c r="F25" s="2"/>
      <c r="G25" s="2">
        <f>D25-E25-F25</f>
        <v>3481</v>
      </c>
    </row>
    <row r="26" spans="3:7" x14ac:dyDescent="0.3">
      <c r="D26" s="2"/>
      <c r="E26" s="2"/>
      <c r="F26" s="2"/>
      <c r="G26" s="2"/>
    </row>
    <row r="27" spans="3:7" x14ac:dyDescent="0.3">
      <c r="D27" s="2">
        <f>SUM(D9:D26)</f>
        <v>164109.72430327866</v>
      </c>
      <c r="E27" s="2">
        <f>SUM(E9:E26)</f>
        <v>83920.724303278694</v>
      </c>
      <c r="F27" s="2">
        <f>SUM(F9:F26)</f>
        <v>45165</v>
      </c>
      <c r="G27" s="2">
        <f>SUM(G9:G26)</f>
        <v>35024</v>
      </c>
    </row>
    <row r="28" spans="3:7" x14ac:dyDescent="0.3">
      <c r="C28" s="1" t="s">
        <v>23</v>
      </c>
    </row>
    <row r="29" spans="3:7" x14ac:dyDescent="0.3">
      <c r="C29" s="1" t="s">
        <v>94</v>
      </c>
      <c r="E29" s="2">
        <f>F2*50</f>
        <v>4029.9999999999995</v>
      </c>
      <c r="G29" s="5"/>
    </row>
    <row r="30" spans="3:7" x14ac:dyDescent="0.3">
      <c r="C30" s="1" t="s">
        <v>196</v>
      </c>
    </row>
    <row r="31" spans="3:7" x14ac:dyDescent="0.3">
      <c r="C31" s="1" t="s">
        <v>85</v>
      </c>
      <c r="G31" s="5"/>
    </row>
    <row r="40" spans="2:7" x14ac:dyDescent="0.3">
      <c r="B40" s="1" t="s">
        <v>0</v>
      </c>
      <c r="C40" s="1" t="s">
        <v>103</v>
      </c>
      <c r="D40" s="62" t="s">
        <v>180</v>
      </c>
    </row>
    <row r="41" spans="2:7" x14ac:dyDescent="0.3">
      <c r="B41" s="1" t="s">
        <v>1</v>
      </c>
      <c r="C41" s="2">
        <f>+'Tab-2018'!I10</f>
        <v>88</v>
      </c>
      <c r="E41" s="1" t="s">
        <v>194</v>
      </c>
      <c r="F41" s="33">
        <v>73.040000000000006</v>
      </c>
    </row>
    <row r="42" spans="2:7" x14ac:dyDescent="0.3">
      <c r="B42" s="1" t="s">
        <v>104</v>
      </c>
      <c r="C42" s="2">
        <f>((C41*366)+D49+D50+D51)/366+C41*0.0833</f>
        <v>113.42329617486338</v>
      </c>
      <c r="E42" s="1" t="s">
        <v>102</v>
      </c>
      <c r="F42" s="33">
        <f>+F41*25</f>
        <v>1826.0000000000002</v>
      </c>
    </row>
    <row r="43" spans="2:7" x14ac:dyDescent="0.3">
      <c r="B43" s="1" t="s">
        <v>2</v>
      </c>
      <c r="C43" s="1">
        <v>15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7" spans="2:7" x14ac:dyDescent="0.3">
      <c r="E47" s="1" t="s">
        <v>134</v>
      </c>
    </row>
    <row r="48" spans="2:7" x14ac:dyDescent="0.3">
      <c r="C48" s="1" t="s">
        <v>8</v>
      </c>
      <c r="D48" s="2">
        <f>(C41*366)-(C43*C41)</f>
        <v>30888</v>
      </c>
      <c r="E48" s="2"/>
      <c r="F48" s="2"/>
      <c r="G48" s="2">
        <f>D48-E48-F48</f>
        <v>30888</v>
      </c>
    </row>
    <row r="49" spans="3:7" x14ac:dyDescent="0.3">
      <c r="C49" s="1" t="s">
        <v>9</v>
      </c>
      <c r="D49" s="2">
        <f>C41*30</f>
        <v>2640</v>
      </c>
      <c r="E49" s="2">
        <f>+D49</f>
        <v>2640</v>
      </c>
      <c r="F49" s="2"/>
      <c r="G49" s="2">
        <f t="shared" ref="G49" si="1">D49-E49-F49</f>
        <v>0</v>
      </c>
    </row>
    <row r="50" spans="3:7" x14ac:dyDescent="0.3">
      <c r="C50" s="1" t="s">
        <v>10</v>
      </c>
      <c r="D50" s="2">
        <f>C41*15*0.25</f>
        <v>330</v>
      </c>
      <c r="E50" s="2">
        <f>+D50</f>
        <v>330</v>
      </c>
      <c r="F50" s="2"/>
      <c r="G50" s="2">
        <f>D50-E50-F50</f>
        <v>0</v>
      </c>
    </row>
    <row r="51" spans="3:7" x14ac:dyDescent="0.3">
      <c r="C51" s="1" t="s">
        <v>11</v>
      </c>
      <c r="D51" s="2">
        <f>+F41*50</f>
        <v>3652.0000000000005</v>
      </c>
      <c r="E51" s="2">
        <f>+F41*50</f>
        <v>3652.0000000000005</v>
      </c>
      <c r="F51" s="2"/>
      <c r="G51" s="2">
        <f t="shared" ref="G51:G63" si="2">D51-E51-F51</f>
        <v>0</v>
      </c>
    </row>
    <row r="52" spans="3:7" x14ac:dyDescent="0.3">
      <c r="C52" s="1" t="s">
        <v>12</v>
      </c>
      <c r="D52" s="2">
        <f>+F41/8*270*2</f>
        <v>4930.2000000000007</v>
      </c>
      <c r="E52" s="2">
        <f>+D52</f>
        <v>4930.2000000000007</v>
      </c>
      <c r="F52" s="2"/>
      <c r="G52" s="2">
        <f t="shared" si="2"/>
        <v>0</v>
      </c>
    </row>
    <row r="53" spans="3:7" x14ac:dyDescent="0.3">
      <c r="C53" s="1" t="s">
        <v>13</v>
      </c>
      <c r="D53" s="2">
        <v>620</v>
      </c>
      <c r="E53" s="2">
        <v>620</v>
      </c>
      <c r="F53" s="2"/>
      <c r="G53" s="2">
        <f t="shared" si="2"/>
        <v>0</v>
      </c>
    </row>
    <row r="54" spans="3:7" x14ac:dyDescent="0.3">
      <c r="C54" s="1" t="s">
        <v>14</v>
      </c>
      <c r="D54" s="2">
        <f>SUM(D48:D51)*13%</f>
        <v>4876.3</v>
      </c>
      <c r="E54" s="2">
        <f>+D54</f>
        <v>4876.3</v>
      </c>
      <c r="F54" s="2"/>
      <c r="G54" s="2">
        <f t="shared" si="2"/>
        <v>0</v>
      </c>
    </row>
    <row r="55" spans="3:7" x14ac:dyDescent="0.3">
      <c r="C55" s="1" t="s">
        <v>15</v>
      </c>
      <c r="D55" s="2">
        <v>24000</v>
      </c>
      <c r="E55" s="2">
        <f>+D55</f>
        <v>24000</v>
      </c>
      <c r="F55" s="2"/>
      <c r="G55" s="2">
        <f t="shared" si="2"/>
        <v>0</v>
      </c>
    </row>
    <row r="56" spans="3:7" x14ac:dyDescent="0.3">
      <c r="C56" s="1" t="s">
        <v>16</v>
      </c>
      <c r="D56" s="2">
        <f>+F41*365*40%</f>
        <v>10663.840000000002</v>
      </c>
      <c r="E56" s="2">
        <f>+D56</f>
        <v>10663.840000000002</v>
      </c>
      <c r="F56" s="2"/>
      <c r="G56" s="2">
        <f t="shared" si="2"/>
        <v>0</v>
      </c>
    </row>
    <row r="57" spans="3:7" x14ac:dyDescent="0.3">
      <c r="C57" s="1" t="s">
        <v>101</v>
      </c>
      <c r="D57" s="2">
        <f>SUM(D48:D51)*25%</f>
        <v>9377.5</v>
      </c>
      <c r="E57" s="2">
        <f>D57</f>
        <v>9377.5</v>
      </c>
      <c r="F57" s="2"/>
      <c r="G57" s="2">
        <f t="shared" si="2"/>
        <v>0</v>
      </c>
    </row>
    <row r="58" spans="3:7" x14ac:dyDescent="0.3">
      <c r="C58" s="1" t="s">
        <v>17</v>
      </c>
      <c r="D58" s="2">
        <f>C42*C43*60%</f>
        <v>1020.8096655737703</v>
      </c>
      <c r="E58" s="2">
        <f>D58</f>
        <v>1020.8096655737703</v>
      </c>
      <c r="F58" s="2"/>
      <c r="G58" s="2">
        <f t="shared" si="2"/>
        <v>0</v>
      </c>
    </row>
    <row r="59" spans="3:7" x14ac:dyDescent="0.3">
      <c r="C59" s="1" t="s">
        <v>18</v>
      </c>
      <c r="D59" s="2">
        <f>SUM(D48:D51)*3.365%</f>
        <v>1262.2114999999999</v>
      </c>
      <c r="E59" s="2">
        <f>D59</f>
        <v>1262.2114999999999</v>
      </c>
      <c r="F59" s="2"/>
      <c r="G59" s="2">
        <f t="shared" si="2"/>
        <v>0</v>
      </c>
    </row>
    <row r="60" spans="3:7" x14ac:dyDescent="0.3">
      <c r="C60" s="1" t="s">
        <v>19</v>
      </c>
      <c r="D60" s="2">
        <v>18000</v>
      </c>
      <c r="E60" s="2"/>
      <c r="F60" s="2">
        <f>D60</f>
        <v>18000</v>
      </c>
      <c r="G60" s="2">
        <f t="shared" si="2"/>
        <v>0</v>
      </c>
    </row>
    <row r="61" spans="3:7" x14ac:dyDescent="0.3">
      <c r="C61" s="1" t="s">
        <v>20</v>
      </c>
      <c r="D61" s="2">
        <f>+F41*275</f>
        <v>20086</v>
      </c>
      <c r="E61" s="2"/>
      <c r="F61" s="2">
        <f>D61</f>
        <v>20086</v>
      </c>
      <c r="G61" s="2">
        <f t="shared" si="2"/>
        <v>0</v>
      </c>
    </row>
    <row r="62" spans="3:7" x14ac:dyDescent="0.3">
      <c r="C62" s="1" t="s">
        <v>21</v>
      </c>
      <c r="D62" s="2">
        <v>25000</v>
      </c>
      <c r="E62" s="2">
        <v>20000</v>
      </c>
      <c r="F62" s="2">
        <f>+D62-E62</f>
        <v>5000</v>
      </c>
      <c r="G62" s="2">
        <f t="shared" si="2"/>
        <v>0</v>
      </c>
    </row>
    <row r="63" spans="3:7" x14ac:dyDescent="0.3">
      <c r="C63" s="1" t="s">
        <v>22</v>
      </c>
      <c r="D63" s="2">
        <f>SUM(D48:D51)*10%</f>
        <v>3751</v>
      </c>
      <c r="E63" s="2">
        <f>F41*30-E49</f>
        <v>-448.79999999999973</v>
      </c>
      <c r="F63" s="2"/>
      <c r="G63" s="2">
        <f t="shared" si="2"/>
        <v>4199.7999999999993</v>
      </c>
    </row>
    <row r="64" spans="3:7" x14ac:dyDescent="0.3">
      <c r="C64" s="1" t="s">
        <v>130</v>
      </c>
      <c r="D64" s="2">
        <f>SUM(D48:D51)*10%</f>
        <v>3751</v>
      </c>
      <c r="E64" s="2"/>
      <c r="F64" s="2"/>
      <c r="G64" s="2">
        <f>D64-E64-F64</f>
        <v>3751</v>
      </c>
    </row>
    <row r="65" spans="3:7" x14ac:dyDescent="0.3">
      <c r="D65" s="2"/>
      <c r="E65" s="2"/>
      <c r="F65" s="2"/>
      <c r="G65" s="2"/>
    </row>
    <row r="66" spans="3:7" x14ac:dyDescent="0.3">
      <c r="D66" s="2">
        <f>SUM(D48:D65)</f>
        <v>164848.86116557376</v>
      </c>
      <c r="E66" s="2">
        <f>SUM(E48:E65)</f>
        <v>82924.061165573759</v>
      </c>
      <c r="F66" s="2">
        <f>SUM(F48:F65)</f>
        <v>43086</v>
      </c>
      <c r="G66" s="2">
        <f>SUM(G48:G65)</f>
        <v>38838.800000000003</v>
      </c>
    </row>
    <row r="67" spans="3:7" x14ac:dyDescent="0.3">
      <c r="C67" s="1" t="s">
        <v>23</v>
      </c>
    </row>
    <row r="68" spans="3:7" x14ac:dyDescent="0.3">
      <c r="C68" s="1" t="s">
        <v>94</v>
      </c>
      <c r="E68" s="2">
        <f>F41*50</f>
        <v>3652.0000000000005</v>
      </c>
      <c r="G68" s="5"/>
    </row>
    <row r="69" spans="3:7" x14ac:dyDescent="0.3">
      <c r="C69" s="1" t="s">
        <v>196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G118"/>
  <sheetViews>
    <sheetView topLeftCell="A95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3.42578125" style="1" customWidth="1"/>
    <col min="6" max="6" width="12.28515625" style="1" customWidth="1"/>
    <col min="7" max="7" width="22" style="1" customWidth="1"/>
    <col min="8" max="16384" width="11.42578125" style="1"/>
  </cols>
  <sheetData>
    <row r="1" spans="2:7" x14ac:dyDescent="0.3">
      <c r="B1" s="1" t="s">
        <v>0</v>
      </c>
      <c r="C1" s="1" t="s">
        <v>31</v>
      </c>
      <c r="E1" s="89">
        <f>+'Tab-2018'!B48</f>
        <v>0</v>
      </c>
      <c r="G1" s="1" t="s">
        <v>184</v>
      </c>
    </row>
    <row r="2" spans="2:7" x14ac:dyDescent="0.3">
      <c r="B2" s="1" t="s">
        <v>1</v>
      </c>
      <c r="C2" s="2">
        <f>+'Tab-2018'!I24</f>
        <v>350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(((C2*366)+D10+D11+D12+D13+D19+D20)/366)+63.57</f>
        <v>510.15923497267761</v>
      </c>
      <c r="E3" s="1" t="s">
        <v>131</v>
      </c>
      <c r="F3" s="2">
        <f>+F2*365*7</f>
        <v>205932.99999999997</v>
      </c>
    </row>
    <row r="4" spans="2:7" x14ac:dyDescent="0.3">
      <c r="B4" s="1" t="s">
        <v>32</v>
      </c>
    </row>
    <row r="5" spans="2:7" x14ac:dyDescent="0.3">
      <c r="B5" s="1" t="s">
        <v>26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128100</v>
      </c>
      <c r="E9" s="2"/>
      <c r="F9" s="2"/>
      <c r="G9" s="2">
        <f>D9-E9-F9</f>
        <v>128100</v>
      </c>
    </row>
    <row r="10" spans="2:7" x14ac:dyDescent="0.3">
      <c r="C10" s="1" t="s">
        <v>9</v>
      </c>
      <c r="D10" s="2">
        <f>C2*30</f>
        <v>10500</v>
      </c>
      <c r="E10" s="2">
        <f>F2*30</f>
        <v>2418</v>
      </c>
      <c r="F10" s="2"/>
      <c r="G10" s="2">
        <f t="shared" ref="G10:G25" si="0">D10-E10-F10</f>
        <v>8082</v>
      </c>
    </row>
    <row r="11" spans="2:7" x14ac:dyDescent="0.3">
      <c r="C11" s="1" t="s">
        <v>10</v>
      </c>
      <c r="D11" s="2">
        <f>C2*16*0.25</f>
        <v>1400</v>
      </c>
      <c r="E11" s="2">
        <f>+F2*15</f>
        <v>1209</v>
      </c>
      <c r="F11" s="2"/>
      <c r="G11" s="2">
        <f>D11-E11-F11</f>
        <v>191</v>
      </c>
    </row>
    <row r="12" spans="2:7" x14ac:dyDescent="0.3">
      <c r="C12" s="1" t="s">
        <v>11</v>
      </c>
      <c r="D12" s="2">
        <f>223.83*52</f>
        <v>11639.16</v>
      </c>
      <c r="E12" s="2">
        <f>F2*52</f>
        <v>4191.2</v>
      </c>
      <c r="F12" s="2"/>
      <c r="G12" s="2">
        <f t="shared" si="0"/>
        <v>7447.96</v>
      </c>
    </row>
    <row r="13" spans="2:7" x14ac:dyDescent="0.3">
      <c r="C13" s="1" t="s">
        <v>12</v>
      </c>
      <c r="D13" s="2">
        <f>(C2/8)*270</f>
        <v>11812.5</v>
      </c>
      <c r="E13" s="2">
        <f>D13*50%</f>
        <v>5906.25</v>
      </c>
      <c r="F13" s="2"/>
      <c r="G13" s="2">
        <f t="shared" si="0"/>
        <v>5906.25</v>
      </c>
    </row>
    <row r="14" spans="2:7" x14ac:dyDescent="0.3">
      <c r="C14" s="1" t="s">
        <v>13</v>
      </c>
      <c r="D14" s="2">
        <v>1360</v>
      </c>
      <c r="E14" s="2">
        <f>F2*15</f>
        <v>1209</v>
      </c>
      <c r="F14" s="2"/>
      <c r="G14" s="2">
        <f t="shared" si="0"/>
        <v>151</v>
      </c>
    </row>
    <row r="15" spans="2:7" x14ac:dyDescent="0.3">
      <c r="C15" s="1" t="s">
        <v>14</v>
      </c>
      <c r="D15" s="2">
        <f>SUM(D9:D12)*13%</f>
        <v>19713.090800000002</v>
      </c>
      <c r="E15" s="2">
        <f>+D34</f>
        <v>38349.479999999996</v>
      </c>
      <c r="F15" s="2"/>
      <c r="G15" s="2">
        <f t="shared" si="0"/>
        <v>-18636.389199999994</v>
      </c>
    </row>
    <row r="16" spans="2:7" x14ac:dyDescent="0.3">
      <c r="C16" s="1" t="s">
        <v>101</v>
      </c>
      <c r="D16" s="2">
        <f>SUM(D9:D12)*5%</f>
        <v>7581.9580000000005</v>
      </c>
      <c r="E16" s="2">
        <f>+D16</f>
        <v>7581.9580000000005</v>
      </c>
      <c r="F16" s="2"/>
      <c r="G16" s="2">
        <f t="shared" si="0"/>
        <v>0</v>
      </c>
    </row>
    <row r="17" spans="3:7" x14ac:dyDescent="0.3">
      <c r="C17" s="1" t="s">
        <v>15</v>
      </c>
      <c r="D17" s="2">
        <f>C2*18</f>
        <v>6300</v>
      </c>
      <c r="E17" s="2">
        <f>D17</f>
        <v>6300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+D30-E17</f>
        <v>23199.599999999999</v>
      </c>
      <c r="F18" s="2"/>
      <c r="G18" s="2">
        <f t="shared" si="0"/>
        <v>-11399.759999999998</v>
      </c>
    </row>
    <row r="19" spans="3:7" x14ac:dyDescent="0.3">
      <c r="C19" s="1" t="s">
        <v>178</v>
      </c>
      <c r="D19" s="2">
        <f>+'Tab-2018'!U48</f>
        <v>0</v>
      </c>
      <c r="E19" s="2"/>
      <c r="F19" s="2"/>
      <c r="G19" s="2">
        <f t="shared" si="0"/>
        <v>0</v>
      </c>
    </row>
    <row r="20" spans="3:7" x14ac:dyDescent="0.3">
      <c r="C20" s="1" t="s">
        <v>179</v>
      </c>
      <c r="D20" s="2">
        <f>+D19</f>
        <v>0</v>
      </c>
      <c r="E20" s="2"/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7885.2363200000009</v>
      </c>
      <c r="E21" s="2">
        <f>D21</f>
        <v>7885.2363200000009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21000</v>
      </c>
      <c r="E22" s="2"/>
      <c r="F22" s="2">
        <f>D22</f>
        <v>21000</v>
      </c>
      <c r="G22" s="2">
        <f t="shared" si="0"/>
        <v>0</v>
      </c>
    </row>
    <row r="23" spans="3:7" x14ac:dyDescent="0.3">
      <c r="C23" s="1" t="s">
        <v>20</v>
      </c>
      <c r="D23" s="2">
        <f>+F2*267</f>
        <v>21520.199999999997</v>
      </c>
      <c r="E23" s="2"/>
      <c r="F23" s="2">
        <f>D23</f>
        <v>21520.199999999997</v>
      </c>
      <c r="G23" s="2">
        <f t="shared" si="0"/>
        <v>0</v>
      </c>
    </row>
    <row r="24" spans="3:7" x14ac:dyDescent="0.3">
      <c r="C24" s="1" t="s">
        <v>21</v>
      </c>
      <c r="D24" s="2">
        <v>2500</v>
      </c>
      <c r="E24" s="2">
        <v>1640</v>
      </c>
      <c r="F24" s="2">
        <f>+D24*0.2</f>
        <v>500</v>
      </c>
      <c r="G24" s="2">
        <f t="shared" si="0"/>
        <v>360</v>
      </c>
    </row>
    <row r="25" spans="3:7" x14ac:dyDescent="0.3">
      <c r="C25" s="1" t="s">
        <v>22</v>
      </c>
      <c r="D25" s="2">
        <f>SUM(D9:D12)*10%</f>
        <v>15163.916000000001</v>
      </c>
      <c r="E25" s="2">
        <f>F2*30-E10</f>
        <v>0</v>
      </c>
      <c r="F25" s="2"/>
      <c r="G25" s="2">
        <f t="shared" si="0"/>
        <v>15163.916000000001</v>
      </c>
    </row>
    <row r="26" spans="3:7" x14ac:dyDescent="0.3">
      <c r="C26" s="1" t="s">
        <v>130</v>
      </c>
      <c r="D26" s="2">
        <f>SUM(D9:D12)*10%</f>
        <v>15163.916000000001</v>
      </c>
      <c r="E26" s="2">
        <v>0</v>
      </c>
      <c r="F26" s="2"/>
      <c r="G26" s="2">
        <f>D26-E26-F26</f>
        <v>15163.916000000001</v>
      </c>
    </row>
    <row r="27" spans="3:7" x14ac:dyDescent="0.3">
      <c r="D27" s="2">
        <f>SUM(D9:D26)</f>
        <v>293439.81712000008</v>
      </c>
      <c r="E27" s="2">
        <f>SUM(E9:E26)</f>
        <v>99889.724319999979</v>
      </c>
      <c r="F27" s="2">
        <f>SUM(F9:F26)</f>
        <v>43020.2</v>
      </c>
      <c r="G27" s="2">
        <f>SUM(G9:G26)</f>
        <v>150529.8928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31</v>
      </c>
      <c r="E40" s="89">
        <f>+'Tab-2018'!B87</f>
        <v>0</v>
      </c>
      <c r="G40" s="1" t="s">
        <v>184</v>
      </c>
    </row>
    <row r="41" spans="2:7" x14ac:dyDescent="0.3">
      <c r="B41" s="1" t="s">
        <v>1</v>
      </c>
      <c r="C41" s="2">
        <f>+'Tab-2018'!I25</f>
        <v>417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(((C41*366)+D49+D50+D51+D52+D58+D59)/366)+63.57</f>
        <v>589.56155737704921</v>
      </c>
      <c r="E42" s="1" t="s">
        <v>131</v>
      </c>
      <c r="F42" s="2">
        <f>+F41*365*7</f>
        <v>186617.2</v>
      </c>
    </row>
    <row r="43" spans="2:7" x14ac:dyDescent="0.3">
      <c r="B43" s="1" t="s">
        <v>32</v>
      </c>
    </row>
    <row r="44" spans="2:7" x14ac:dyDescent="0.3">
      <c r="B44" s="1" t="s">
        <v>26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152622</v>
      </c>
      <c r="E48" s="2"/>
      <c r="F48" s="2"/>
      <c r="G48" s="2">
        <f>D48-E48-F48</f>
        <v>152622</v>
      </c>
    </row>
    <row r="49" spans="3:7" x14ac:dyDescent="0.3">
      <c r="C49" s="1" t="s">
        <v>9</v>
      </c>
      <c r="D49" s="2">
        <f>C41*30</f>
        <v>12510</v>
      </c>
      <c r="E49" s="2">
        <f>F41*30</f>
        <v>2191.2000000000003</v>
      </c>
      <c r="F49" s="2"/>
      <c r="G49" s="2">
        <f t="shared" ref="G49" si="1">D49-E49-F49</f>
        <v>10318.799999999999</v>
      </c>
    </row>
    <row r="50" spans="3:7" x14ac:dyDescent="0.3">
      <c r="C50" s="1" t="s">
        <v>10</v>
      </c>
      <c r="D50" s="2">
        <f>C41*16*0.25</f>
        <v>1668</v>
      </c>
      <c r="E50" s="2">
        <f>+F41*15</f>
        <v>1095.6000000000001</v>
      </c>
      <c r="F50" s="2"/>
      <c r="G50" s="2">
        <f>D50-E50-F50</f>
        <v>572.39999999999986</v>
      </c>
    </row>
    <row r="51" spans="3:7" x14ac:dyDescent="0.3">
      <c r="C51" s="1" t="s">
        <v>11</v>
      </c>
      <c r="D51" s="2">
        <f>223.83*52</f>
        <v>11639.16</v>
      </c>
      <c r="E51" s="2">
        <f>F41*52</f>
        <v>3798.0800000000004</v>
      </c>
      <c r="F51" s="2"/>
      <c r="G51" s="2">
        <f t="shared" ref="G51:G64" si="2">D51-E51-F51</f>
        <v>7841.08</v>
      </c>
    </row>
    <row r="52" spans="3:7" x14ac:dyDescent="0.3">
      <c r="C52" s="1" t="s">
        <v>12</v>
      </c>
      <c r="D52" s="2">
        <f>(C41/8)*270</f>
        <v>14073.75</v>
      </c>
      <c r="E52" s="2">
        <f>D52*50%</f>
        <v>7036.875</v>
      </c>
      <c r="F52" s="2"/>
      <c r="G52" s="2">
        <f t="shared" si="2"/>
        <v>7036.875</v>
      </c>
    </row>
    <row r="53" spans="3:7" x14ac:dyDescent="0.3">
      <c r="C53" s="1" t="s">
        <v>13</v>
      </c>
      <c r="D53" s="2">
        <v>1360</v>
      </c>
      <c r="E53" s="2">
        <f>F41*15</f>
        <v>1095.6000000000001</v>
      </c>
      <c r="F53" s="2"/>
      <c r="G53" s="2">
        <f t="shared" si="2"/>
        <v>264.39999999999986</v>
      </c>
    </row>
    <row r="54" spans="3:7" x14ac:dyDescent="0.3">
      <c r="C54" s="1" t="s">
        <v>14</v>
      </c>
      <c r="D54" s="2">
        <f>SUM(D48:D51)*13%</f>
        <v>23197.090800000002</v>
      </c>
      <c r="E54" s="2">
        <f>+D73</f>
        <v>34752.432000000008</v>
      </c>
      <c r="F54" s="2"/>
      <c r="G54" s="2">
        <f t="shared" si="2"/>
        <v>-11555.341200000006</v>
      </c>
    </row>
    <row r="55" spans="3:7" x14ac:dyDescent="0.3">
      <c r="C55" s="1" t="s">
        <v>101</v>
      </c>
      <c r="D55" s="2">
        <f>SUM(D48:D51)*5%</f>
        <v>8921.9580000000005</v>
      </c>
      <c r="E55" s="2">
        <f>+D55</f>
        <v>8921.9580000000005</v>
      </c>
      <c r="F55" s="2"/>
      <c r="G55" s="2">
        <f t="shared" si="2"/>
        <v>0</v>
      </c>
    </row>
    <row r="56" spans="3:7" x14ac:dyDescent="0.3">
      <c r="C56" s="1" t="s">
        <v>15</v>
      </c>
      <c r="D56" s="2">
        <f>C41*18</f>
        <v>7506</v>
      </c>
      <c r="E56" s="2">
        <f>D56</f>
        <v>7506</v>
      </c>
      <c r="F56" s="2"/>
      <c r="G56" s="2">
        <f t="shared" si="2"/>
        <v>0</v>
      </c>
    </row>
    <row r="57" spans="3:7" x14ac:dyDescent="0.3">
      <c r="C57" s="1" t="s">
        <v>16</v>
      </c>
      <c r="D57" s="2">
        <f>F41*366*40%</f>
        <v>10693.056000000002</v>
      </c>
      <c r="E57" s="2">
        <f>+D69-E56</f>
        <v>19226.640000000003</v>
      </c>
      <c r="F57" s="2"/>
      <c r="G57" s="2">
        <f t="shared" si="2"/>
        <v>-8533.5840000000007</v>
      </c>
    </row>
    <row r="58" spans="3:7" x14ac:dyDescent="0.3">
      <c r="C58" s="1" t="s">
        <v>178</v>
      </c>
      <c r="D58" s="2">
        <f>+'Tab-2018'!U87</f>
        <v>0</v>
      </c>
      <c r="E58" s="2"/>
      <c r="F58" s="2"/>
      <c r="G58" s="2">
        <f t="shared" si="2"/>
        <v>0</v>
      </c>
    </row>
    <row r="59" spans="3:7" x14ac:dyDescent="0.3">
      <c r="C59" s="1" t="s">
        <v>179</v>
      </c>
      <c r="D59" s="2">
        <f>+D58</f>
        <v>0</v>
      </c>
      <c r="E59" s="2"/>
      <c r="F59" s="2"/>
      <c r="G59" s="2">
        <f t="shared" si="2"/>
        <v>0</v>
      </c>
    </row>
    <row r="60" spans="3:7" x14ac:dyDescent="0.3">
      <c r="C60" s="1" t="s">
        <v>18</v>
      </c>
      <c r="D60" s="2">
        <f>SUM(D48:D51)*5.2%</f>
        <v>9278.8363200000003</v>
      </c>
      <c r="E60" s="2">
        <f>D60</f>
        <v>9278.8363200000003</v>
      </c>
      <c r="F60" s="2"/>
      <c r="G60" s="2">
        <f t="shared" si="2"/>
        <v>0</v>
      </c>
    </row>
    <row r="61" spans="3:7" x14ac:dyDescent="0.3">
      <c r="C61" s="1" t="s">
        <v>19</v>
      </c>
      <c r="D61" s="2">
        <f>C41*60</f>
        <v>25020</v>
      </c>
      <c r="E61" s="2"/>
      <c r="F61" s="2">
        <f>D61</f>
        <v>25020</v>
      </c>
      <c r="G61" s="2">
        <f t="shared" si="2"/>
        <v>0</v>
      </c>
    </row>
    <row r="62" spans="3:7" x14ac:dyDescent="0.3">
      <c r="C62" s="1" t="s">
        <v>20</v>
      </c>
      <c r="D62" s="2">
        <f>+F41*267</f>
        <v>19501.68</v>
      </c>
      <c r="E62" s="2"/>
      <c r="F62" s="2">
        <f>D62</f>
        <v>19501.68</v>
      </c>
      <c r="G62" s="2">
        <f t="shared" si="2"/>
        <v>0</v>
      </c>
    </row>
    <row r="63" spans="3:7" x14ac:dyDescent="0.3">
      <c r="C63" s="1" t="s">
        <v>21</v>
      </c>
      <c r="D63" s="2">
        <v>2500</v>
      </c>
      <c r="E63" s="2">
        <v>1640</v>
      </c>
      <c r="F63" s="2">
        <f>+D63*0.2</f>
        <v>500</v>
      </c>
      <c r="G63" s="2">
        <f t="shared" si="2"/>
        <v>360</v>
      </c>
    </row>
    <row r="64" spans="3:7" x14ac:dyDescent="0.3">
      <c r="C64" s="1" t="s">
        <v>22</v>
      </c>
      <c r="D64" s="2">
        <f>SUM(D48:D51)*10%</f>
        <v>17843.916000000001</v>
      </c>
      <c r="E64" s="2">
        <f>F41*30-E49</f>
        <v>0</v>
      </c>
      <c r="F64" s="2"/>
      <c r="G64" s="2">
        <f t="shared" si="2"/>
        <v>17843.916000000001</v>
      </c>
    </row>
    <row r="65" spans="2:7" x14ac:dyDescent="0.3">
      <c r="C65" s="1" t="s">
        <v>130</v>
      </c>
      <c r="D65" s="2">
        <f>SUM(D48:D51)*10%</f>
        <v>17843.916000000001</v>
      </c>
      <c r="E65" s="2">
        <v>0</v>
      </c>
      <c r="F65" s="2"/>
      <c r="G65" s="2">
        <f>D65-E65-F65</f>
        <v>17843.916000000001</v>
      </c>
    </row>
    <row r="66" spans="2:7" x14ac:dyDescent="0.3">
      <c r="D66" s="2">
        <f>SUM(D48:D65)</f>
        <v>336179.36312000005</v>
      </c>
      <c r="E66" s="2">
        <f>SUM(E48:E65)</f>
        <v>96543.221320000011</v>
      </c>
      <c r="F66" s="2">
        <f>SUM(F48:F65)</f>
        <v>45021.68</v>
      </c>
      <c r="G66" s="2">
        <f>SUM(G48:G65)</f>
        <v>194614.46179999996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31</v>
      </c>
      <c r="E80" s="89">
        <f>+'Tab-2018'!B127</f>
        <v>0</v>
      </c>
      <c r="G80" s="1" t="s">
        <v>184</v>
      </c>
    </row>
    <row r="81" spans="2:7" x14ac:dyDescent="0.3">
      <c r="B81" s="1" t="s">
        <v>1</v>
      </c>
      <c r="C81" s="2">
        <f>+'Tab-2018'!I26</f>
        <v>447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(((C81*366)+D89+D90+D91+D92+D98+D99)/366)+63.57</f>
        <v>625.11483606557385</v>
      </c>
      <c r="E82" s="1" t="s">
        <v>131</v>
      </c>
      <c r="F82" s="2">
        <f>+F81*365*7</f>
        <v>205932.99999999997</v>
      </c>
    </row>
    <row r="83" spans="2:7" x14ac:dyDescent="0.3">
      <c r="B83" s="1" t="s">
        <v>32</v>
      </c>
    </row>
    <row r="84" spans="2:7" x14ac:dyDescent="0.3">
      <c r="B84" s="1" t="s">
        <v>26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163602</v>
      </c>
      <c r="E88" s="2"/>
      <c r="F88" s="2"/>
      <c r="G88" s="2">
        <f>D88-E88-F88</f>
        <v>163602</v>
      </c>
    </row>
    <row r="89" spans="2:7" x14ac:dyDescent="0.3">
      <c r="C89" s="1" t="s">
        <v>9</v>
      </c>
      <c r="D89" s="2">
        <f>C81*30</f>
        <v>13410</v>
      </c>
      <c r="E89" s="2">
        <f>F81*30</f>
        <v>2418</v>
      </c>
      <c r="F89" s="2"/>
      <c r="G89" s="2">
        <f t="shared" ref="G89" si="3">D89-E89-F89</f>
        <v>10992</v>
      </c>
    </row>
    <row r="90" spans="2:7" x14ac:dyDescent="0.3">
      <c r="C90" s="1" t="s">
        <v>10</v>
      </c>
      <c r="D90" s="2">
        <f>C81*16*0.25</f>
        <v>1788</v>
      </c>
      <c r="E90" s="2">
        <f>+F81*15</f>
        <v>1209</v>
      </c>
      <c r="F90" s="2"/>
      <c r="G90" s="2">
        <f>D90-E90-F90</f>
        <v>579</v>
      </c>
    </row>
    <row r="91" spans="2:7" x14ac:dyDescent="0.3">
      <c r="C91" s="1" t="s">
        <v>11</v>
      </c>
      <c r="D91" s="2">
        <f>223.83*52</f>
        <v>11639.16</v>
      </c>
      <c r="E91" s="2">
        <f>F81*52</f>
        <v>4191.2</v>
      </c>
      <c r="F91" s="2"/>
      <c r="G91" s="2">
        <f t="shared" ref="G91:G104" si="4">D91-E91-F91</f>
        <v>7447.96</v>
      </c>
    </row>
    <row r="92" spans="2:7" x14ac:dyDescent="0.3">
      <c r="C92" s="1" t="s">
        <v>12</v>
      </c>
      <c r="D92" s="2">
        <f>(C81/8)*270</f>
        <v>15086.25</v>
      </c>
      <c r="E92" s="2">
        <f>D92*50%</f>
        <v>7543.125</v>
      </c>
      <c r="F92" s="2"/>
      <c r="G92" s="2">
        <f t="shared" si="4"/>
        <v>7543.125</v>
      </c>
    </row>
    <row r="93" spans="2:7" x14ac:dyDescent="0.3">
      <c r="C93" s="1" t="s">
        <v>13</v>
      </c>
      <c r="D93" s="2">
        <v>1360</v>
      </c>
      <c r="E93" s="2">
        <f>F81*15</f>
        <v>1209</v>
      </c>
      <c r="F93" s="2"/>
      <c r="G93" s="2">
        <f t="shared" si="4"/>
        <v>151</v>
      </c>
    </row>
    <row r="94" spans="2:7" x14ac:dyDescent="0.3">
      <c r="C94" s="1" t="s">
        <v>14</v>
      </c>
      <c r="D94" s="2">
        <f>SUM(D88:D91)*13%</f>
        <v>24757.090800000002</v>
      </c>
      <c r="E94" s="2">
        <f>+D113</f>
        <v>38349.479999999996</v>
      </c>
      <c r="F94" s="2"/>
      <c r="G94" s="2">
        <f t="shared" si="4"/>
        <v>-13592.389199999994</v>
      </c>
    </row>
    <row r="95" spans="2:7" x14ac:dyDescent="0.3">
      <c r="C95" s="1" t="s">
        <v>101</v>
      </c>
      <c r="D95" s="2">
        <f>SUM(D88:D91)*5%</f>
        <v>9521.9580000000005</v>
      </c>
      <c r="E95" s="2">
        <f>+D95</f>
        <v>9521.9580000000005</v>
      </c>
      <c r="F95" s="2"/>
      <c r="G95" s="2">
        <f t="shared" si="4"/>
        <v>0</v>
      </c>
    </row>
    <row r="96" spans="2:7" x14ac:dyDescent="0.3">
      <c r="C96" s="1" t="s">
        <v>15</v>
      </c>
      <c r="D96" s="2">
        <f>C81*18</f>
        <v>8046</v>
      </c>
      <c r="E96" s="2">
        <f>D96</f>
        <v>8046</v>
      </c>
      <c r="F96" s="2"/>
      <c r="G96" s="2">
        <f t="shared" si="4"/>
        <v>0</v>
      </c>
    </row>
    <row r="97" spans="3:7" x14ac:dyDescent="0.3">
      <c r="C97" s="1" t="s">
        <v>16</v>
      </c>
      <c r="D97" s="2">
        <f>F81*366*40%</f>
        <v>11799.84</v>
      </c>
      <c r="E97" s="2">
        <f>+D109-E96</f>
        <v>21453.599999999999</v>
      </c>
      <c r="F97" s="2"/>
      <c r="G97" s="2">
        <f t="shared" si="4"/>
        <v>-9653.7599999999984</v>
      </c>
    </row>
    <row r="98" spans="3:7" x14ac:dyDescent="0.3">
      <c r="C98" s="1" t="s">
        <v>178</v>
      </c>
      <c r="D98" s="2">
        <f>+'Tab-2018'!U127</f>
        <v>0</v>
      </c>
      <c r="E98" s="2"/>
      <c r="F98" s="2"/>
      <c r="G98" s="2">
        <f t="shared" si="4"/>
        <v>0</v>
      </c>
    </row>
    <row r="99" spans="3:7" x14ac:dyDescent="0.3">
      <c r="C99" s="1" t="s">
        <v>179</v>
      </c>
      <c r="D99" s="2">
        <f>+D98</f>
        <v>0</v>
      </c>
      <c r="E99" s="2"/>
      <c r="F99" s="2"/>
      <c r="G99" s="2">
        <f t="shared" si="4"/>
        <v>0</v>
      </c>
    </row>
    <row r="100" spans="3:7" x14ac:dyDescent="0.3">
      <c r="C100" s="1" t="s">
        <v>18</v>
      </c>
      <c r="D100" s="2">
        <f>SUM(D88:D91)*5.2%</f>
        <v>9902.8363200000003</v>
      </c>
      <c r="E100" s="2">
        <f>D100</f>
        <v>9902.8363200000003</v>
      </c>
      <c r="F100" s="2"/>
      <c r="G100" s="2">
        <f t="shared" si="4"/>
        <v>0</v>
      </c>
    </row>
    <row r="101" spans="3:7" x14ac:dyDescent="0.3">
      <c r="C101" s="1" t="s">
        <v>19</v>
      </c>
      <c r="D101" s="2">
        <f>C81*60</f>
        <v>26820</v>
      </c>
      <c r="E101" s="2"/>
      <c r="F101" s="2">
        <f>D101</f>
        <v>26820</v>
      </c>
      <c r="G101" s="2">
        <f t="shared" si="4"/>
        <v>0</v>
      </c>
    </row>
    <row r="102" spans="3:7" x14ac:dyDescent="0.3">
      <c r="C102" s="1" t="s">
        <v>20</v>
      </c>
      <c r="D102" s="2">
        <f>+F81*267</f>
        <v>21520.199999999997</v>
      </c>
      <c r="E102" s="2"/>
      <c r="F102" s="2">
        <f>D102</f>
        <v>21520.199999999997</v>
      </c>
      <c r="G102" s="2">
        <f t="shared" si="4"/>
        <v>0</v>
      </c>
    </row>
    <row r="103" spans="3:7" x14ac:dyDescent="0.3">
      <c r="C103" s="1" t="s">
        <v>21</v>
      </c>
      <c r="D103" s="2">
        <v>2500</v>
      </c>
      <c r="E103" s="2">
        <v>1640</v>
      </c>
      <c r="F103" s="2">
        <f>+D103*0.2</f>
        <v>500</v>
      </c>
      <c r="G103" s="2">
        <f t="shared" si="4"/>
        <v>360</v>
      </c>
    </row>
    <row r="104" spans="3:7" x14ac:dyDescent="0.3">
      <c r="C104" s="1" t="s">
        <v>22</v>
      </c>
      <c r="D104" s="2">
        <f>SUM(D88:D91)*10%</f>
        <v>19043.916000000001</v>
      </c>
      <c r="E104" s="2">
        <f>F81*30-E89</f>
        <v>0</v>
      </c>
      <c r="F104" s="2"/>
      <c r="G104" s="2">
        <f t="shared" si="4"/>
        <v>19043.916000000001</v>
      </c>
    </row>
    <row r="105" spans="3:7" x14ac:dyDescent="0.3">
      <c r="C105" s="1" t="s">
        <v>130</v>
      </c>
      <c r="D105" s="2">
        <f>SUM(D88:D91)*10%</f>
        <v>19043.916000000001</v>
      </c>
      <c r="E105" s="2">
        <v>0</v>
      </c>
      <c r="F105" s="2"/>
      <c r="G105" s="2">
        <f>D105-E105-F105</f>
        <v>19043.916000000001</v>
      </c>
    </row>
    <row r="106" spans="3:7" x14ac:dyDescent="0.3">
      <c r="D106" s="2">
        <f>SUM(D88:D105)</f>
        <v>359841.16712000006</v>
      </c>
      <c r="E106" s="2">
        <f>SUM(E88:E105)</f>
        <v>105484.19931999999</v>
      </c>
      <c r="F106" s="2">
        <f>SUM(F88:F105)</f>
        <v>48840.2</v>
      </c>
      <c r="G106" s="2">
        <f>SUM(G88:G105)</f>
        <v>205516.76779999997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0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G118"/>
  <sheetViews>
    <sheetView topLeftCell="A93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2.28515625" style="1" customWidth="1"/>
    <col min="6" max="6" width="12.7109375" style="1" customWidth="1"/>
    <col min="7" max="7" width="13.7109375" style="1" customWidth="1"/>
    <col min="8" max="16384" width="11.42578125" style="1"/>
  </cols>
  <sheetData>
    <row r="1" spans="2:7" x14ac:dyDescent="0.3">
      <c r="B1" s="1" t="s">
        <v>0</v>
      </c>
      <c r="C1" s="1" t="s">
        <v>33</v>
      </c>
      <c r="E1" s="1" t="s">
        <v>184</v>
      </c>
    </row>
    <row r="2" spans="2:7" x14ac:dyDescent="0.3">
      <c r="B2" s="1" t="s">
        <v>1</v>
      </c>
      <c r="C2" s="2">
        <f>+'Tab-2018'!I14</f>
        <v>460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((C2*366)+D10+D11+D12+D13)/366</f>
        <v>608.62021857923503</v>
      </c>
      <c r="E3" s="1" t="s">
        <v>131</v>
      </c>
      <c r="F3" s="2">
        <f>+F2*365*7</f>
        <v>205932.99999999997</v>
      </c>
    </row>
    <row r="4" spans="2:7" x14ac:dyDescent="0.3">
      <c r="B4" s="1" t="s">
        <v>2</v>
      </c>
      <c r="C4" s="1">
        <v>25</v>
      </c>
    </row>
    <row r="5" spans="2:7" x14ac:dyDescent="0.3">
      <c r="B5" s="1" t="s">
        <v>26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153640</v>
      </c>
      <c r="E9" s="2"/>
      <c r="F9" s="2"/>
      <c r="G9" s="2">
        <f>D9-E9-F9</f>
        <v>153640</v>
      </c>
    </row>
    <row r="10" spans="2:7" x14ac:dyDescent="0.3">
      <c r="C10" s="1" t="s">
        <v>9</v>
      </c>
      <c r="D10" s="2">
        <f>C2*30</f>
        <v>13800</v>
      </c>
      <c r="E10" s="2">
        <f>F2*30</f>
        <v>2418</v>
      </c>
      <c r="F10" s="2"/>
      <c r="G10" s="2">
        <f t="shared" ref="G10:G25" si="0">D10-E10-F10</f>
        <v>11382</v>
      </c>
    </row>
    <row r="11" spans="2:7" x14ac:dyDescent="0.3">
      <c r="C11" s="1" t="s">
        <v>10</v>
      </c>
      <c r="D11" s="2">
        <f>C2*18*0.25</f>
        <v>2070</v>
      </c>
      <c r="E11" s="2">
        <f>D11</f>
        <v>2070</v>
      </c>
      <c r="F11" s="2"/>
      <c r="G11" s="2">
        <f>D11-E11-F11</f>
        <v>0</v>
      </c>
    </row>
    <row r="12" spans="2:7" x14ac:dyDescent="0.3">
      <c r="C12" s="1" t="s">
        <v>11</v>
      </c>
      <c r="D12" s="2">
        <f>C2*50</f>
        <v>23000</v>
      </c>
      <c r="E12" s="2">
        <f>F2*50</f>
        <v>4029.9999999999995</v>
      </c>
      <c r="F12" s="2"/>
      <c r="G12" s="2">
        <f t="shared" si="0"/>
        <v>18970</v>
      </c>
    </row>
    <row r="13" spans="2:7" x14ac:dyDescent="0.3">
      <c r="C13" s="1" t="s">
        <v>12</v>
      </c>
      <c r="D13" s="2">
        <f>(C2/8)*270</f>
        <v>15525</v>
      </c>
      <c r="E13" s="2">
        <f>D13*50%</f>
        <v>7762.5</v>
      </c>
      <c r="F13" s="2"/>
      <c r="G13" s="2">
        <f t="shared" si="0"/>
        <v>7762.5</v>
      </c>
    </row>
    <row r="14" spans="2:7" x14ac:dyDescent="0.3">
      <c r="C14" s="1" t="s">
        <v>13</v>
      </c>
      <c r="D14" s="2">
        <v>1840</v>
      </c>
      <c r="E14" s="2">
        <f>F2*15</f>
        <v>1209</v>
      </c>
      <c r="F14" s="2"/>
      <c r="G14" s="2">
        <f t="shared" si="0"/>
        <v>631</v>
      </c>
    </row>
    <row r="15" spans="2:7" x14ac:dyDescent="0.3">
      <c r="C15" s="1" t="s">
        <v>14</v>
      </c>
      <c r="D15" s="2">
        <f>SUM(D9:D12)*13%</f>
        <v>25026.3</v>
      </c>
      <c r="E15" s="2">
        <f>SUM(D9:D12)*13%</f>
        <v>25026.3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9625.5</v>
      </c>
      <c r="E16" s="2"/>
      <c r="F16" s="2"/>
      <c r="G16" s="2">
        <f t="shared" si="0"/>
        <v>9625.5</v>
      </c>
    </row>
    <row r="17" spans="3:7" x14ac:dyDescent="0.3">
      <c r="C17" s="1" t="s">
        <v>15</v>
      </c>
      <c r="D17" s="2">
        <f>C2*60</f>
        <v>27600</v>
      </c>
      <c r="E17" s="2">
        <f>D17</f>
        <v>27600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F2*365*40%</f>
        <v>11767.599999999999</v>
      </c>
      <c r="E18" s="2">
        <f>D18</f>
        <v>11767.599999999999</v>
      </c>
      <c r="F18" s="2"/>
      <c r="G18" s="2">
        <f t="shared" si="0"/>
        <v>0</v>
      </c>
    </row>
    <row r="19" spans="3:7" x14ac:dyDescent="0.3">
      <c r="C19" s="1" t="s">
        <v>178</v>
      </c>
      <c r="D19" s="2">
        <f>C4*C3*40%</f>
        <v>6086.2021857923501</v>
      </c>
      <c r="E19" s="2">
        <f>D19</f>
        <v>6086.2021857923501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C3*C4*60%</f>
        <v>9129.3032786885251</v>
      </c>
      <c r="E20" s="2">
        <f>D20</f>
        <v>9129.3032786885251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10010.52</v>
      </c>
      <c r="E21" s="2">
        <f>D21</f>
        <v>10010.52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27600</v>
      </c>
      <c r="E22" s="2"/>
      <c r="F22" s="2">
        <f>D22</f>
        <v>27600</v>
      </c>
      <c r="G22" s="2">
        <f t="shared" si="0"/>
        <v>0</v>
      </c>
    </row>
    <row r="23" spans="3:7" x14ac:dyDescent="0.3">
      <c r="C23" s="1" t="s">
        <v>20</v>
      </c>
      <c r="D23" s="2">
        <f>+F2*258</f>
        <v>20794.8</v>
      </c>
      <c r="E23" s="2"/>
      <c r="F23" s="2">
        <f>D23</f>
        <v>20794.8</v>
      </c>
      <c r="G23" s="2">
        <f t="shared" si="0"/>
        <v>0</v>
      </c>
    </row>
    <row r="24" spans="3:7" x14ac:dyDescent="0.3">
      <c r="C24" s="1" t="s">
        <v>21</v>
      </c>
      <c r="D24" s="2">
        <v>3450</v>
      </c>
      <c r="E24" s="2">
        <v>640</v>
      </c>
      <c r="F24" s="2"/>
      <c r="G24" s="2">
        <f t="shared" si="0"/>
        <v>2810</v>
      </c>
    </row>
    <row r="25" spans="3:7" x14ac:dyDescent="0.3">
      <c r="C25" s="1" t="s">
        <v>22</v>
      </c>
      <c r="D25" s="2">
        <f>SUM(D9:D12)*10%</f>
        <v>19251</v>
      </c>
      <c r="E25" s="2">
        <f>F2*30-E10</f>
        <v>0</v>
      </c>
      <c r="F25" s="2"/>
      <c r="G25" s="2">
        <f t="shared" si="0"/>
        <v>19251</v>
      </c>
    </row>
    <row r="26" spans="3:7" x14ac:dyDescent="0.3">
      <c r="C26" s="1" t="s">
        <v>22</v>
      </c>
      <c r="D26" s="2">
        <f>SUM(D9:D12)*10%</f>
        <v>19251</v>
      </c>
      <c r="E26" s="2">
        <v>0</v>
      </c>
      <c r="F26" s="2"/>
      <c r="G26" s="2">
        <f>D26-E26-F26</f>
        <v>19251</v>
      </c>
    </row>
    <row r="27" spans="3:7" x14ac:dyDescent="0.3">
      <c r="D27" s="2">
        <f>SUM(D9:D26)</f>
        <v>399467.22546448081</v>
      </c>
      <c r="E27" s="2">
        <f>SUM(E9:E26)</f>
        <v>107749.42546448088</v>
      </c>
      <c r="F27" s="2">
        <f>SUM(F9:F26)</f>
        <v>48394.8</v>
      </c>
      <c r="G27" s="2">
        <f>SUM(G9:G26)</f>
        <v>243323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33</v>
      </c>
      <c r="E40" s="1" t="s">
        <v>184</v>
      </c>
    </row>
    <row r="41" spans="2:7" x14ac:dyDescent="0.3">
      <c r="B41" s="1" t="s">
        <v>1</v>
      </c>
      <c r="C41" s="2">
        <f>+'Tab-2018'!I27</f>
        <v>475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((C41*366)+D49+D50+D51+D52)/366</f>
        <v>628.46653005464486</v>
      </c>
      <c r="E42" s="1" t="s">
        <v>131</v>
      </c>
      <c r="F42" s="2">
        <f>+F41*365*7</f>
        <v>186617.2</v>
      </c>
    </row>
    <row r="43" spans="2:7" x14ac:dyDescent="0.3">
      <c r="B43" s="1" t="s">
        <v>2</v>
      </c>
      <c r="C43" s="1">
        <v>25</v>
      </c>
    </row>
    <row r="44" spans="2:7" x14ac:dyDescent="0.3">
      <c r="B44" s="1" t="s">
        <v>26</v>
      </c>
      <c r="C44" s="1">
        <v>7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158650</v>
      </c>
      <c r="E48" s="2"/>
      <c r="F48" s="2"/>
      <c r="G48" s="2">
        <f>D48-E48-F48</f>
        <v>158650</v>
      </c>
    </row>
    <row r="49" spans="3:7" x14ac:dyDescent="0.3">
      <c r="C49" s="1" t="s">
        <v>9</v>
      </c>
      <c r="D49" s="2">
        <f>C41*30</f>
        <v>14250</v>
      </c>
      <c r="E49" s="2">
        <f>F41*30</f>
        <v>2191.2000000000003</v>
      </c>
      <c r="F49" s="2"/>
      <c r="G49" s="2">
        <f t="shared" ref="G49" si="1">D49-E49-F49</f>
        <v>12058.8</v>
      </c>
    </row>
    <row r="50" spans="3:7" x14ac:dyDescent="0.3">
      <c r="C50" s="1" t="s">
        <v>10</v>
      </c>
      <c r="D50" s="2">
        <f>C41*18*0.25</f>
        <v>2137.5</v>
      </c>
      <c r="E50" s="2">
        <f>D50</f>
        <v>2137.5</v>
      </c>
      <c r="F50" s="2"/>
      <c r="G50" s="2">
        <f>D50-E50-F50</f>
        <v>0</v>
      </c>
    </row>
    <row r="51" spans="3:7" x14ac:dyDescent="0.3">
      <c r="C51" s="1" t="s">
        <v>11</v>
      </c>
      <c r="D51" s="2">
        <f>C41*50</f>
        <v>23750</v>
      </c>
      <c r="E51" s="2">
        <f>F41*50</f>
        <v>3652.0000000000005</v>
      </c>
      <c r="F51" s="2"/>
      <c r="G51" s="2">
        <f t="shared" ref="G51:G64" si="2">D51-E51-F51</f>
        <v>20098</v>
      </c>
    </row>
    <row r="52" spans="3:7" x14ac:dyDescent="0.3">
      <c r="C52" s="1" t="s">
        <v>12</v>
      </c>
      <c r="D52" s="2">
        <f>(C41/8)*270</f>
        <v>16031.25</v>
      </c>
      <c r="E52" s="2">
        <f>D52*50%</f>
        <v>8015.625</v>
      </c>
      <c r="F52" s="2"/>
      <c r="G52" s="2">
        <f t="shared" si="2"/>
        <v>8015.625</v>
      </c>
    </row>
    <row r="53" spans="3:7" x14ac:dyDescent="0.3">
      <c r="C53" s="1" t="s">
        <v>13</v>
      </c>
      <c r="D53" s="2">
        <v>1840</v>
      </c>
      <c r="E53" s="2">
        <f>F41*15</f>
        <v>1095.6000000000001</v>
      </c>
      <c r="F53" s="2"/>
      <c r="G53" s="2">
        <f t="shared" si="2"/>
        <v>744.39999999999986</v>
      </c>
    </row>
    <row r="54" spans="3:7" x14ac:dyDescent="0.3">
      <c r="C54" s="1" t="s">
        <v>14</v>
      </c>
      <c r="D54" s="2">
        <f>SUM(D48:D51)*13%</f>
        <v>25842.375</v>
      </c>
      <c r="E54" s="2">
        <f>SUM(D48:D51)*13%</f>
        <v>25842.375</v>
      </c>
      <c r="F54" s="2"/>
      <c r="G54" s="2">
        <f t="shared" si="2"/>
        <v>0</v>
      </c>
    </row>
    <row r="55" spans="3:7" x14ac:dyDescent="0.3">
      <c r="C55" s="1" t="s">
        <v>101</v>
      </c>
      <c r="D55" s="2">
        <f>SUM(D48:D51)*5%</f>
        <v>9939.375</v>
      </c>
      <c r="E55" s="2"/>
      <c r="F55" s="2"/>
      <c r="G55" s="2">
        <f t="shared" si="2"/>
        <v>9939.375</v>
      </c>
    </row>
    <row r="56" spans="3:7" x14ac:dyDescent="0.3">
      <c r="C56" s="1" t="s">
        <v>15</v>
      </c>
      <c r="D56" s="2">
        <f>C41*60</f>
        <v>28500</v>
      </c>
      <c r="E56" s="2">
        <f>D56</f>
        <v>28500</v>
      </c>
      <c r="F56" s="2"/>
      <c r="G56" s="2">
        <f t="shared" si="2"/>
        <v>0</v>
      </c>
    </row>
    <row r="57" spans="3:7" x14ac:dyDescent="0.3">
      <c r="C57" s="1" t="s">
        <v>16</v>
      </c>
      <c r="D57" s="2">
        <f>F41*365*40%</f>
        <v>10663.840000000002</v>
      </c>
      <c r="E57" s="2">
        <f>D57</f>
        <v>10663.840000000002</v>
      </c>
      <c r="F57" s="2"/>
      <c r="G57" s="2">
        <f t="shared" si="2"/>
        <v>0</v>
      </c>
    </row>
    <row r="58" spans="3:7" x14ac:dyDescent="0.3">
      <c r="C58" s="1" t="s">
        <v>178</v>
      </c>
      <c r="D58" s="2">
        <f>C43*C42*40%</f>
        <v>6284.6653005464486</v>
      </c>
      <c r="E58" s="2">
        <f>D58</f>
        <v>6284.6653005464486</v>
      </c>
      <c r="F58" s="2"/>
      <c r="G58" s="2">
        <f t="shared" si="2"/>
        <v>0</v>
      </c>
    </row>
    <row r="59" spans="3:7" x14ac:dyDescent="0.3">
      <c r="C59" s="1" t="s">
        <v>179</v>
      </c>
      <c r="D59" s="2">
        <f>C42*C43*60%</f>
        <v>9426.997950819672</v>
      </c>
      <c r="E59" s="2">
        <f>D59</f>
        <v>9426.997950819672</v>
      </c>
      <c r="F59" s="2"/>
      <c r="G59" s="2">
        <f t="shared" si="2"/>
        <v>0</v>
      </c>
    </row>
    <row r="60" spans="3:7" x14ac:dyDescent="0.3">
      <c r="C60" s="1" t="s">
        <v>18</v>
      </c>
      <c r="D60" s="2">
        <f>SUM(D48:D51)*5.2%</f>
        <v>10336.950000000001</v>
      </c>
      <c r="E60" s="2">
        <f>D60</f>
        <v>10336.950000000001</v>
      </c>
      <c r="F60" s="2"/>
      <c r="G60" s="2">
        <f t="shared" si="2"/>
        <v>0</v>
      </c>
    </row>
    <row r="61" spans="3:7" x14ac:dyDescent="0.3">
      <c r="C61" s="1" t="s">
        <v>19</v>
      </c>
      <c r="D61" s="2">
        <f>C41*60</f>
        <v>28500</v>
      </c>
      <c r="E61" s="2"/>
      <c r="F61" s="2">
        <f>D61</f>
        <v>28500</v>
      </c>
      <c r="G61" s="2">
        <f t="shared" si="2"/>
        <v>0</v>
      </c>
    </row>
    <row r="62" spans="3:7" x14ac:dyDescent="0.3">
      <c r="C62" s="1" t="s">
        <v>20</v>
      </c>
      <c r="D62" s="2">
        <f>+F41*258</f>
        <v>18844.320000000003</v>
      </c>
      <c r="E62" s="2"/>
      <c r="F62" s="2">
        <f>D62</f>
        <v>18844.320000000003</v>
      </c>
      <c r="G62" s="2">
        <f t="shared" si="2"/>
        <v>0</v>
      </c>
    </row>
    <row r="63" spans="3:7" x14ac:dyDescent="0.3">
      <c r="C63" s="1" t="s">
        <v>21</v>
      </c>
      <c r="D63" s="2">
        <v>3450</v>
      </c>
      <c r="E63" s="2">
        <v>640</v>
      </c>
      <c r="F63" s="2"/>
      <c r="G63" s="2">
        <f t="shared" si="2"/>
        <v>2810</v>
      </c>
    </row>
    <row r="64" spans="3:7" x14ac:dyDescent="0.3">
      <c r="C64" s="1" t="s">
        <v>22</v>
      </c>
      <c r="D64" s="2">
        <f>SUM(D48:D51)*10%</f>
        <v>19878.75</v>
      </c>
      <c r="E64" s="2">
        <f>F41*30-E49</f>
        <v>0</v>
      </c>
      <c r="F64" s="2"/>
      <c r="G64" s="2">
        <f t="shared" si="2"/>
        <v>19878.75</v>
      </c>
    </row>
    <row r="65" spans="2:7" x14ac:dyDescent="0.3">
      <c r="C65" s="1" t="s">
        <v>22</v>
      </c>
      <c r="D65" s="2">
        <f>SUM(D48:D51)*10%</f>
        <v>19878.75</v>
      </c>
      <c r="E65" s="2">
        <v>0</v>
      </c>
      <c r="F65" s="2"/>
      <c r="G65" s="2">
        <f>D65-E65-F65</f>
        <v>19878.75</v>
      </c>
    </row>
    <row r="66" spans="2:7" x14ac:dyDescent="0.3">
      <c r="D66" s="2">
        <f>SUM(D48:D65)</f>
        <v>408204.77325136616</v>
      </c>
      <c r="E66" s="2">
        <f>SUM(E48:E65)</f>
        <v>108786.75325136611</v>
      </c>
      <c r="F66" s="2">
        <f>SUM(F48:F65)</f>
        <v>47344.320000000007</v>
      </c>
      <c r="G66" s="2">
        <f>SUM(G48:G65)</f>
        <v>252073.69999999998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33</v>
      </c>
      <c r="E80" s="1" t="s">
        <v>184</v>
      </c>
    </row>
    <row r="81" spans="2:7" x14ac:dyDescent="0.3">
      <c r="B81" s="1" t="s">
        <v>1</v>
      </c>
      <c r="C81" s="2">
        <f>+'Tab-2018'!I28</f>
        <v>500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((C81*366)+D89+D90+D91+D92)/366</f>
        <v>661.54371584699459</v>
      </c>
      <c r="E82" s="1" t="s">
        <v>131</v>
      </c>
      <c r="F82" s="2">
        <f>+F81*365*7</f>
        <v>205932.99999999997</v>
      </c>
    </row>
    <row r="83" spans="2:7" x14ac:dyDescent="0.3">
      <c r="B83" s="1" t="s">
        <v>2</v>
      </c>
      <c r="C83" s="1">
        <v>25</v>
      </c>
    </row>
    <row r="84" spans="2:7" x14ac:dyDescent="0.3">
      <c r="B84" s="1" t="s">
        <v>26</v>
      </c>
      <c r="C84" s="1">
        <v>7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167000</v>
      </c>
      <c r="E88" s="2"/>
      <c r="F88" s="2"/>
      <c r="G88" s="2">
        <f>D88-E88-F88</f>
        <v>167000</v>
      </c>
    </row>
    <row r="89" spans="2:7" x14ac:dyDescent="0.3">
      <c r="C89" s="1" t="s">
        <v>9</v>
      </c>
      <c r="D89" s="2">
        <f>C81*30</f>
        <v>15000</v>
      </c>
      <c r="E89" s="2">
        <f>F81*30</f>
        <v>2418</v>
      </c>
      <c r="F89" s="2"/>
      <c r="G89" s="2">
        <f t="shared" ref="G89" si="3">D89-E89-F89</f>
        <v>12582</v>
      </c>
    </row>
    <row r="90" spans="2:7" x14ac:dyDescent="0.3">
      <c r="C90" s="1" t="s">
        <v>10</v>
      </c>
      <c r="D90" s="2">
        <f>C81*18*0.25</f>
        <v>2250</v>
      </c>
      <c r="E90" s="2">
        <f>D90</f>
        <v>2250</v>
      </c>
      <c r="F90" s="2"/>
      <c r="G90" s="2">
        <f>D90-E90-F90</f>
        <v>0</v>
      </c>
    </row>
    <row r="91" spans="2:7" x14ac:dyDescent="0.3">
      <c r="C91" s="1" t="s">
        <v>11</v>
      </c>
      <c r="D91" s="2">
        <f>C81*50</f>
        <v>25000</v>
      </c>
      <c r="E91" s="2">
        <f>F81*50</f>
        <v>4029.9999999999995</v>
      </c>
      <c r="F91" s="2"/>
      <c r="G91" s="2">
        <f t="shared" ref="G91:G104" si="4">D91-E91-F91</f>
        <v>20970</v>
      </c>
    </row>
    <row r="92" spans="2:7" x14ac:dyDescent="0.3">
      <c r="C92" s="1" t="s">
        <v>12</v>
      </c>
      <c r="D92" s="2">
        <f>(C81/8)*270</f>
        <v>16875</v>
      </c>
      <c r="E92" s="2">
        <f>D92*50%</f>
        <v>8437.5</v>
      </c>
      <c r="F92" s="2"/>
      <c r="G92" s="2">
        <f t="shared" si="4"/>
        <v>8437.5</v>
      </c>
    </row>
    <row r="93" spans="2:7" x14ac:dyDescent="0.3">
      <c r="C93" s="1" t="s">
        <v>13</v>
      </c>
      <c r="D93" s="2">
        <v>1840</v>
      </c>
      <c r="E93" s="2">
        <f>F81*15</f>
        <v>1209</v>
      </c>
      <c r="F93" s="2"/>
      <c r="G93" s="2">
        <f t="shared" si="4"/>
        <v>631</v>
      </c>
    </row>
    <row r="94" spans="2:7" x14ac:dyDescent="0.3">
      <c r="C94" s="1" t="s">
        <v>14</v>
      </c>
      <c r="D94" s="2">
        <f>SUM(D88:D91)*13%</f>
        <v>27202.5</v>
      </c>
      <c r="E94" s="2">
        <f>SUM(D88:D91)*13%</f>
        <v>27202.5</v>
      </c>
      <c r="F94" s="2"/>
      <c r="G94" s="2">
        <f t="shared" si="4"/>
        <v>0</v>
      </c>
    </row>
    <row r="95" spans="2:7" x14ac:dyDescent="0.3">
      <c r="C95" s="1" t="s">
        <v>101</v>
      </c>
      <c r="D95" s="2">
        <f>SUM(D88:D91)*5%</f>
        <v>10462.5</v>
      </c>
      <c r="E95" s="2"/>
      <c r="F95" s="2"/>
      <c r="G95" s="2">
        <f t="shared" si="4"/>
        <v>10462.5</v>
      </c>
    </row>
    <row r="96" spans="2:7" x14ac:dyDescent="0.3">
      <c r="C96" s="1" t="s">
        <v>15</v>
      </c>
      <c r="D96" s="2">
        <f>C81*60</f>
        <v>30000</v>
      </c>
      <c r="E96" s="2">
        <f>D96</f>
        <v>30000</v>
      </c>
      <c r="F96" s="2"/>
      <c r="G96" s="2">
        <f t="shared" si="4"/>
        <v>0</v>
      </c>
    </row>
    <row r="97" spans="3:7" x14ac:dyDescent="0.3">
      <c r="C97" s="1" t="s">
        <v>16</v>
      </c>
      <c r="D97" s="2">
        <f>F81*365*40%</f>
        <v>11767.599999999999</v>
      </c>
      <c r="E97" s="2">
        <f>D97</f>
        <v>11767.599999999999</v>
      </c>
      <c r="F97" s="2"/>
      <c r="G97" s="2">
        <f t="shared" si="4"/>
        <v>0</v>
      </c>
    </row>
    <row r="98" spans="3:7" x14ac:dyDescent="0.3">
      <c r="C98" s="1" t="s">
        <v>178</v>
      </c>
      <c r="D98" s="2">
        <f>C83*C82*40%</f>
        <v>6615.4371584699466</v>
      </c>
      <c r="E98" s="2">
        <f>D98</f>
        <v>6615.4371584699466</v>
      </c>
      <c r="F98" s="2"/>
      <c r="G98" s="2">
        <f t="shared" si="4"/>
        <v>0</v>
      </c>
    </row>
    <row r="99" spans="3:7" x14ac:dyDescent="0.3">
      <c r="C99" s="1" t="s">
        <v>179</v>
      </c>
      <c r="D99" s="2">
        <f>C82*C83*60%</f>
        <v>9923.1557377049194</v>
      </c>
      <c r="E99" s="2">
        <f>D99</f>
        <v>9923.1557377049194</v>
      </c>
      <c r="F99" s="2"/>
      <c r="G99" s="2">
        <f t="shared" si="4"/>
        <v>0</v>
      </c>
    </row>
    <row r="100" spans="3:7" x14ac:dyDescent="0.3">
      <c r="C100" s="1" t="s">
        <v>18</v>
      </c>
      <c r="D100" s="2">
        <f>SUM(D88:D91)*5.2%</f>
        <v>10881.000000000002</v>
      </c>
      <c r="E100" s="2">
        <f>D100</f>
        <v>10881.000000000002</v>
      </c>
      <c r="F100" s="2"/>
      <c r="G100" s="2">
        <f t="shared" si="4"/>
        <v>0</v>
      </c>
    </row>
    <row r="101" spans="3:7" x14ac:dyDescent="0.3">
      <c r="C101" s="1" t="s">
        <v>19</v>
      </c>
      <c r="D101" s="2">
        <f>C81*60</f>
        <v>30000</v>
      </c>
      <c r="E101" s="2"/>
      <c r="F101" s="2">
        <f>D101</f>
        <v>30000</v>
      </c>
      <c r="G101" s="2">
        <f t="shared" si="4"/>
        <v>0</v>
      </c>
    </row>
    <row r="102" spans="3:7" x14ac:dyDescent="0.3">
      <c r="C102" s="1" t="s">
        <v>20</v>
      </c>
      <c r="D102" s="2">
        <f>+F81*258</f>
        <v>20794.8</v>
      </c>
      <c r="E102" s="2"/>
      <c r="F102" s="2">
        <f>D102</f>
        <v>20794.8</v>
      </c>
      <c r="G102" s="2">
        <f t="shared" si="4"/>
        <v>0</v>
      </c>
    </row>
    <row r="103" spans="3:7" x14ac:dyDescent="0.3">
      <c r="C103" s="1" t="s">
        <v>21</v>
      </c>
      <c r="D103" s="2">
        <v>3450</v>
      </c>
      <c r="E103" s="2">
        <v>640</v>
      </c>
      <c r="F103" s="2"/>
      <c r="G103" s="2">
        <f t="shared" si="4"/>
        <v>2810</v>
      </c>
    </row>
    <row r="104" spans="3:7" x14ac:dyDescent="0.3">
      <c r="C104" s="1" t="s">
        <v>22</v>
      </c>
      <c r="D104" s="2">
        <f>SUM(D88:D91)*10%</f>
        <v>20925</v>
      </c>
      <c r="E104" s="2">
        <f>F81*30-E89</f>
        <v>0</v>
      </c>
      <c r="F104" s="2"/>
      <c r="G104" s="2">
        <f t="shared" si="4"/>
        <v>20925</v>
      </c>
    </row>
    <row r="105" spans="3:7" x14ac:dyDescent="0.3">
      <c r="C105" s="1" t="s">
        <v>22</v>
      </c>
      <c r="D105" s="2">
        <f>SUM(D88:D91)*10%</f>
        <v>20925</v>
      </c>
      <c r="E105" s="2">
        <v>0</v>
      </c>
      <c r="F105" s="2"/>
      <c r="G105" s="2">
        <f>D105-E105-F105</f>
        <v>20925</v>
      </c>
    </row>
    <row r="106" spans="3:7" x14ac:dyDescent="0.3">
      <c r="D106" s="2">
        <f>SUM(D88:D105)</f>
        <v>430911.99289617484</v>
      </c>
      <c r="E106" s="2">
        <f>SUM(E88:E105)</f>
        <v>115374.19289617486</v>
      </c>
      <c r="F106" s="2">
        <f>SUM(F88:F105)</f>
        <v>50794.8</v>
      </c>
      <c r="G106" s="2">
        <f>SUM(G88:G105)</f>
        <v>264743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8"/>
  <sheetViews>
    <sheetView topLeftCell="B95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2.140625" style="1" customWidth="1"/>
    <col min="6" max="6" width="12.7109375" style="1" customWidth="1"/>
    <col min="7" max="7" width="12.42578125" style="1" customWidth="1"/>
    <col min="8" max="16384" width="11.42578125" style="1"/>
  </cols>
  <sheetData>
    <row r="1" spans="2:7" x14ac:dyDescent="0.3">
      <c r="B1" s="1" t="s">
        <v>0</v>
      </c>
      <c r="C1" s="1" t="s">
        <v>108</v>
      </c>
      <c r="E1" s="1" t="s">
        <v>184</v>
      </c>
    </row>
    <row r="2" spans="2:7" x14ac:dyDescent="0.3">
      <c r="B2" s="1" t="s">
        <v>1</v>
      </c>
      <c r="C2" s="2">
        <f>+'Tab-2018'!I15</f>
        <v>520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638.98907103825138</v>
      </c>
      <c r="E3" s="1" t="s">
        <v>132</v>
      </c>
      <c r="F3" s="2">
        <f>+F2*365*7</f>
        <v>205932.99999999997</v>
      </c>
    </row>
    <row r="4" spans="2:7" x14ac:dyDescent="0.3">
      <c r="B4" s="1" t="s">
        <v>2</v>
      </c>
      <c r="C4" s="1">
        <v>18</v>
      </c>
    </row>
    <row r="5" spans="2:7" x14ac:dyDescent="0.3">
      <c r="B5" s="1" t="s">
        <v>26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177320</v>
      </c>
      <c r="E9" s="2"/>
      <c r="F9" s="2"/>
      <c r="G9" s="2">
        <f t="shared" ref="G9:G25" si="0">D9-E9-F9</f>
        <v>177320</v>
      </c>
    </row>
    <row r="10" spans="2:7" x14ac:dyDescent="0.3">
      <c r="C10" s="1" t="s">
        <v>9</v>
      </c>
      <c r="D10" s="2">
        <f>C2*30</f>
        <v>15600</v>
      </c>
      <c r="E10" s="2">
        <f>F2*30</f>
        <v>2418</v>
      </c>
      <c r="F10" s="2"/>
      <c r="G10" s="2">
        <f t="shared" si="0"/>
        <v>13182</v>
      </c>
    </row>
    <row r="11" spans="2:7" x14ac:dyDescent="0.3">
      <c r="C11" s="1" t="s">
        <v>10</v>
      </c>
      <c r="D11" s="2">
        <f>C2*15*0.25</f>
        <v>1950</v>
      </c>
      <c r="E11" s="2">
        <f>+F2*15</f>
        <v>1209</v>
      </c>
      <c r="F11" s="2"/>
      <c r="G11" s="2">
        <f t="shared" si="0"/>
        <v>741</v>
      </c>
    </row>
    <row r="12" spans="2:7" x14ac:dyDescent="0.3">
      <c r="C12" s="1" t="s">
        <v>11</v>
      </c>
      <c r="D12" s="2">
        <f>C2*50</f>
        <v>26000</v>
      </c>
      <c r="E12" s="2">
        <f>F2*50</f>
        <v>4029.9999999999995</v>
      </c>
      <c r="F12" s="2"/>
      <c r="G12" s="2">
        <f t="shared" si="0"/>
        <v>21970</v>
      </c>
    </row>
    <row r="13" spans="2:7" x14ac:dyDescent="0.3">
      <c r="C13" s="1" t="s">
        <v>12</v>
      </c>
      <c r="D13" s="2">
        <f>(C2/8)*270</f>
        <v>17550</v>
      </c>
      <c r="E13" s="2">
        <f>D13*50%</f>
        <v>8775</v>
      </c>
      <c r="F13" s="2"/>
      <c r="G13" s="2">
        <f t="shared" si="0"/>
        <v>8775</v>
      </c>
    </row>
    <row r="14" spans="2:7" x14ac:dyDescent="0.3">
      <c r="C14" s="1" t="s">
        <v>13</v>
      </c>
      <c r="D14" s="2">
        <v>2850</v>
      </c>
      <c r="E14" s="2">
        <f>F2*15</f>
        <v>1209</v>
      </c>
      <c r="F14" s="2"/>
      <c r="G14" s="2">
        <f t="shared" si="0"/>
        <v>1641</v>
      </c>
    </row>
    <row r="15" spans="2:7" x14ac:dyDescent="0.3">
      <c r="C15" s="1" t="s">
        <v>14</v>
      </c>
      <c r="D15" s="2">
        <f>SUM(D9:D12)*13%</f>
        <v>28713.100000000002</v>
      </c>
      <c r="E15" s="2">
        <f>SUM(D9:D12)*13%</f>
        <v>28713.100000000002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11043.5</v>
      </c>
      <c r="E16" s="2"/>
      <c r="F16" s="2"/>
      <c r="G16" s="2">
        <f t="shared" si="0"/>
        <v>11043.5</v>
      </c>
    </row>
    <row r="17" spans="3:9" x14ac:dyDescent="0.3">
      <c r="C17" s="1" t="s">
        <v>15</v>
      </c>
      <c r="D17" s="2">
        <f>C2*60</f>
        <v>31200</v>
      </c>
      <c r="E17" s="2">
        <f>D17</f>
        <v>31200</v>
      </c>
      <c r="F17" s="2"/>
      <c r="G17" s="2">
        <f t="shared" si="0"/>
        <v>0</v>
      </c>
    </row>
    <row r="18" spans="3:9" x14ac:dyDescent="0.3">
      <c r="C18" s="1" t="s">
        <v>16</v>
      </c>
      <c r="D18" s="2">
        <f>F2*365*40%</f>
        <v>11767.599999999999</v>
      </c>
      <c r="E18" s="2">
        <f>D18</f>
        <v>11767.599999999999</v>
      </c>
      <c r="F18" s="2"/>
      <c r="G18" s="2">
        <f t="shared" si="0"/>
        <v>0</v>
      </c>
    </row>
    <row r="19" spans="3:9" x14ac:dyDescent="0.3">
      <c r="C19" s="1" t="s">
        <v>178</v>
      </c>
      <c r="D19" s="2">
        <f>C4*C3*40%</f>
        <v>4600.7213114754104</v>
      </c>
      <c r="E19" s="2">
        <f>D19</f>
        <v>4600.7213114754104</v>
      </c>
      <c r="F19" s="2"/>
      <c r="G19" s="2">
        <f t="shared" si="0"/>
        <v>0</v>
      </c>
      <c r="H19" s="5">
        <f>+E17+E18+E19</f>
        <v>47568.321311475411</v>
      </c>
    </row>
    <row r="20" spans="3:9" x14ac:dyDescent="0.3">
      <c r="C20" s="1" t="s">
        <v>179</v>
      </c>
      <c r="D20" s="2">
        <f>C3*C4*60%</f>
        <v>6901.0819672131147</v>
      </c>
      <c r="E20" s="2">
        <f>D20</f>
        <v>6901.0819672131147</v>
      </c>
      <c r="F20" s="2"/>
      <c r="G20" s="2">
        <f t="shared" si="0"/>
        <v>0</v>
      </c>
      <c r="H20" s="5">
        <f>+H19-D30</f>
        <v>18068.721311475412</v>
      </c>
      <c r="I20" s="1" t="s">
        <v>133</v>
      </c>
    </row>
    <row r="21" spans="3:9" x14ac:dyDescent="0.3">
      <c r="C21" s="1" t="s">
        <v>18</v>
      </c>
      <c r="D21" s="2">
        <f>SUM(D9:D12)*5.2%</f>
        <v>11485.240000000002</v>
      </c>
      <c r="E21" s="2">
        <f>D21</f>
        <v>11485.240000000002</v>
      </c>
      <c r="F21" s="2"/>
      <c r="G21" s="2">
        <f t="shared" si="0"/>
        <v>0</v>
      </c>
      <c r="H21" s="5">
        <f>+D19+D20</f>
        <v>11501.803278688525</v>
      </c>
      <c r="I21" s="1">
        <f>+H21/C4</f>
        <v>638.98907103825138</v>
      </c>
    </row>
    <row r="22" spans="3:9" x14ac:dyDescent="0.3">
      <c r="C22" s="1" t="s">
        <v>19</v>
      </c>
      <c r="D22" s="2">
        <f>C2*60</f>
        <v>31200</v>
      </c>
      <c r="E22" s="2"/>
      <c r="F22" s="2">
        <f>D22</f>
        <v>31200</v>
      </c>
      <c r="G22" s="2">
        <f t="shared" si="0"/>
        <v>0</v>
      </c>
    </row>
    <row r="23" spans="3:9" x14ac:dyDescent="0.3">
      <c r="C23" s="1" t="s">
        <v>20</v>
      </c>
      <c r="D23" s="2">
        <f>+F2*275</f>
        <v>22165</v>
      </c>
      <c r="E23" s="2"/>
      <c r="F23" s="2">
        <f>D23</f>
        <v>22165</v>
      </c>
      <c r="G23" s="2">
        <f t="shared" si="0"/>
        <v>0</v>
      </c>
    </row>
    <row r="24" spans="3:9" x14ac:dyDescent="0.3">
      <c r="C24" s="1" t="s">
        <v>21</v>
      </c>
      <c r="D24" s="2">
        <v>3450</v>
      </c>
      <c r="E24" s="2">
        <v>640</v>
      </c>
      <c r="F24" s="2"/>
      <c r="G24" s="2">
        <f t="shared" si="0"/>
        <v>2810</v>
      </c>
    </row>
    <row r="25" spans="3:9" x14ac:dyDescent="0.3">
      <c r="C25" s="1" t="s">
        <v>22</v>
      </c>
      <c r="D25" s="2">
        <f>SUM(D9:D12)*10%</f>
        <v>22087</v>
      </c>
      <c r="E25" s="2">
        <f>F2*30-E10</f>
        <v>0</v>
      </c>
      <c r="F25" s="2"/>
      <c r="G25" s="2">
        <f t="shared" si="0"/>
        <v>22087</v>
      </c>
    </row>
    <row r="26" spans="3:9" x14ac:dyDescent="0.3">
      <c r="C26" s="1" t="s">
        <v>130</v>
      </c>
      <c r="D26" s="2">
        <f>SUM(D9:D12)*10%</f>
        <v>22087</v>
      </c>
      <c r="E26" s="2">
        <v>0</v>
      </c>
      <c r="F26" s="2"/>
      <c r="G26" s="2">
        <f>D26-E26-F26</f>
        <v>22087</v>
      </c>
    </row>
    <row r="27" spans="3:9" x14ac:dyDescent="0.3">
      <c r="D27" s="2">
        <f>SUM(D9:D26)</f>
        <v>447970.24327868846</v>
      </c>
      <c r="E27" s="2">
        <f>SUM(E9:E26)</f>
        <v>112948.74327868855</v>
      </c>
      <c r="F27" s="2">
        <f>SUM(F9:F26)</f>
        <v>53365</v>
      </c>
      <c r="G27" s="2">
        <f>SUM(G9:G26)</f>
        <v>281656.5</v>
      </c>
    </row>
    <row r="29" spans="3:9" x14ac:dyDescent="0.3">
      <c r="C29" s="1" t="s">
        <v>135</v>
      </c>
    </row>
    <row r="30" spans="3:9" x14ac:dyDescent="0.3">
      <c r="D30" s="2">
        <f>F2*366</f>
        <v>29499.599999999999</v>
      </c>
      <c r="E30" s="1" t="s">
        <v>87</v>
      </c>
    </row>
    <row r="31" spans="3:9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108</v>
      </c>
      <c r="E40" s="1" t="s">
        <v>184</v>
      </c>
    </row>
    <row r="41" spans="2:7" x14ac:dyDescent="0.3">
      <c r="B41" s="1" t="s">
        <v>1</v>
      </c>
      <c r="C41" s="2">
        <f>+'Tab-2018'!I16</f>
        <v>550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((C41*366)+D49+D50+D51)/366</f>
        <v>675.85382513661204</v>
      </c>
      <c r="E42" s="1" t="s">
        <v>132</v>
      </c>
      <c r="F42" s="2">
        <f>+F41*365*7</f>
        <v>186617.2</v>
      </c>
    </row>
    <row r="43" spans="2:7" x14ac:dyDescent="0.3">
      <c r="B43" s="1" t="s">
        <v>2</v>
      </c>
      <c r="C43" s="1">
        <v>18</v>
      </c>
    </row>
    <row r="44" spans="2:7" x14ac:dyDescent="0.3">
      <c r="B44" s="1" t="s">
        <v>26</v>
      </c>
      <c r="C44" s="1">
        <v>7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187550</v>
      </c>
      <c r="E48" s="2"/>
      <c r="F48" s="2"/>
      <c r="G48" s="2">
        <f t="shared" ref="G48:G64" si="1">D48-E48-F48</f>
        <v>187550</v>
      </c>
    </row>
    <row r="49" spans="3:9" x14ac:dyDescent="0.3">
      <c r="C49" s="1" t="s">
        <v>9</v>
      </c>
      <c r="D49" s="2">
        <f>C41*30</f>
        <v>16500</v>
      </c>
      <c r="E49" s="2">
        <f>F41*30</f>
        <v>2191.2000000000003</v>
      </c>
      <c r="F49" s="2"/>
      <c r="G49" s="2">
        <f t="shared" si="1"/>
        <v>14308.8</v>
      </c>
    </row>
    <row r="50" spans="3:9" x14ac:dyDescent="0.3">
      <c r="C50" s="1" t="s">
        <v>10</v>
      </c>
      <c r="D50" s="2">
        <f>C41*15*0.25</f>
        <v>2062.5</v>
      </c>
      <c r="E50" s="2">
        <f>+F41*15</f>
        <v>1095.6000000000001</v>
      </c>
      <c r="F50" s="2"/>
      <c r="G50" s="2">
        <f t="shared" si="1"/>
        <v>966.89999999999986</v>
      </c>
    </row>
    <row r="51" spans="3:9" x14ac:dyDescent="0.3">
      <c r="C51" s="1" t="s">
        <v>11</v>
      </c>
      <c r="D51" s="2">
        <f>C41*50</f>
        <v>27500</v>
      </c>
      <c r="E51" s="2">
        <f>F41*50</f>
        <v>3652.0000000000005</v>
      </c>
      <c r="F51" s="2"/>
      <c r="G51" s="2">
        <f t="shared" si="1"/>
        <v>23848</v>
      </c>
    </row>
    <row r="52" spans="3:9" x14ac:dyDescent="0.3">
      <c r="C52" s="1" t="s">
        <v>12</v>
      </c>
      <c r="D52" s="2">
        <f>(C41/8)*270</f>
        <v>18562.5</v>
      </c>
      <c r="E52" s="2">
        <f>D52*50%</f>
        <v>9281.25</v>
      </c>
      <c r="F52" s="2"/>
      <c r="G52" s="2">
        <f t="shared" si="1"/>
        <v>9281.25</v>
      </c>
    </row>
    <row r="53" spans="3:9" x14ac:dyDescent="0.3">
      <c r="C53" s="1" t="s">
        <v>13</v>
      </c>
      <c r="D53" s="2">
        <v>2850</v>
      </c>
      <c r="E53" s="2">
        <f>F41*15</f>
        <v>1095.6000000000001</v>
      </c>
      <c r="F53" s="2"/>
      <c r="G53" s="2">
        <f t="shared" si="1"/>
        <v>1754.3999999999999</v>
      </c>
    </row>
    <row r="54" spans="3:9" x14ac:dyDescent="0.3">
      <c r="C54" s="1" t="s">
        <v>14</v>
      </c>
      <c r="D54" s="2">
        <f>SUM(D48:D51)*13%</f>
        <v>30369.625</v>
      </c>
      <c r="E54" s="2">
        <f>SUM(D48:D51)*13%</f>
        <v>30369.625</v>
      </c>
      <c r="F54" s="2"/>
      <c r="G54" s="2">
        <f t="shared" si="1"/>
        <v>0</v>
      </c>
    </row>
    <row r="55" spans="3:9" x14ac:dyDescent="0.3">
      <c r="C55" s="1" t="s">
        <v>101</v>
      </c>
      <c r="D55" s="2">
        <f>SUM(D48:D51)*5%</f>
        <v>11680.625</v>
      </c>
      <c r="E55" s="2"/>
      <c r="F55" s="2"/>
      <c r="G55" s="2">
        <f t="shared" si="1"/>
        <v>11680.625</v>
      </c>
    </row>
    <row r="56" spans="3:9" x14ac:dyDescent="0.3">
      <c r="C56" s="1" t="s">
        <v>15</v>
      </c>
      <c r="D56" s="2">
        <f>C41*60</f>
        <v>33000</v>
      </c>
      <c r="E56" s="2">
        <f>D56</f>
        <v>33000</v>
      </c>
      <c r="F56" s="2"/>
      <c r="G56" s="2">
        <f t="shared" si="1"/>
        <v>0</v>
      </c>
    </row>
    <row r="57" spans="3:9" x14ac:dyDescent="0.3">
      <c r="C57" s="1" t="s">
        <v>16</v>
      </c>
      <c r="D57" s="2">
        <f>F41*365*40%</f>
        <v>10663.840000000002</v>
      </c>
      <c r="E57" s="2">
        <f>D57</f>
        <v>10663.840000000002</v>
      </c>
      <c r="F57" s="2"/>
      <c r="G57" s="2">
        <f t="shared" si="1"/>
        <v>0</v>
      </c>
    </row>
    <row r="58" spans="3:9" x14ac:dyDescent="0.3">
      <c r="C58" s="1" t="s">
        <v>178</v>
      </c>
      <c r="D58" s="2">
        <f>C43*C42*40%</f>
        <v>4866.1475409836066</v>
      </c>
      <c r="E58" s="2">
        <f>D58</f>
        <v>4866.1475409836066</v>
      </c>
      <c r="F58" s="2"/>
      <c r="G58" s="2">
        <f t="shared" si="1"/>
        <v>0</v>
      </c>
      <c r="H58" s="5">
        <f>+E56+E57+E58</f>
        <v>48529.98754098361</v>
      </c>
    </row>
    <row r="59" spans="3:9" x14ac:dyDescent="0.3">
      <c r="C59" s="1" t="s">
        <v>179</v>
      </c>
      <c r="D59" s="2">
        <f>C42*C43*60%</f>
        <v>7299.2213114754095</v>
      </c>
      <c r="E59" s="2">
        <f>D59</f>
        <v>7299.2213114754095</v>
      </c>
      <c r="F59" s="2"/>
      <c r="G59" s="2">
        <f t="shared" si="1"/>
        <v>0</v>
      </c>
      <c r="H59" s="5">
        <f>+H58-D69</f>
        <v>21797.347540983606</v>
      </c>
      <c r="I59" s="1" t="s">
        <v>133</v>
      </c>
    </row>
    <row r="60" spans="3:9" x14ac:dyDescent="0.3">
      <c r="C60" s="1" t="s">
        <v>18</v>
      </c>
      <c r="D60" s="2">
        <f>SUM(D48:D51)*5.2%</f>
        <v>12147.85</v>
      </c>
      <c r="E60" s="2">
        <f>D60</f>
        <v>12147.85</v>
      </c>
      <c r="F60" s="2"/>
      <c r="G60" s="2">
        <f t="shared" si="1"/>
        <v>0</v>
      </c>
      <c r="H60" s="5">
        <f>+D58+D59</f>
        <v>12165.368852459016</v>
      </c>
      <c r="I60" s="1">
        <f>+H60/C43</f>
        <v>675.85382513661204</v>
      </c>
    </row>
    <row r="61" spans="3:9" x14ac:dyDescent="0.3">
      <c r="C61" s="1" t="s">
        <v>19</v>
      </c>
      <c r="D61" s="2">
        <f>C41*60</f>
        <v>33000</v>
      </c>
      <c r="E61" s="2"/>
      <c r="F61" s="2">
        <f>D61</f>
        <v>33000</v>
      </c>
      <c r="G61" s="2">
        <f t="shared" si="1"/>
        <v>0</v>
      </c>
    </row>
    <row r="62" spans="3:9" x14ac:dyDescent="0.3">
      <c r="C62" s="1" t="s">
        <v>20</v>
      </c>
      <c r="D62" s="2">
        <f>+F41*275</f>
        <v>20086</v>
      </c>
      <c r="E62" s="2"/>
      <c r="F62" s="2">
        <f>D62</f>
        <v>20086</v>
      </c>
      <c r="G62" s="2">
        <f t="shared" si="1"/>
        <v>0</v>
      </c>
    </row>
    <row r="63" spans="3:9" x14ac:dyDescent="0.3">
      <c r="C63" s="1" t="s">
        <v>21</v>
      </c>
      <c r="D63" s="2">
        <v>3450</v>
      </c>
      <c r="E63" s="2">
        <v>640</v>
      </c>
      <c r="F63" s="2"/>
      <c r="G63" s="2">
        <f t="shared" si="1"/>
        <v>2810</v>
      </c>
    </row>
    <row r="64" spans="3:9" x14ac:dyDescent="0.3">
      <c r="C64" s="1" t="s">
        <v>22</v>
      </c>
      <c r="D64" s="2">
        <f>SUM(D48:D51)*10%</f>
        <v>23361.25</v>
      </c>
      <c r="E64" s="2">
        <f>F41*30-E49</f>
        <v>0</v>
      </c>
      <c r="F64" s="2"/>
      <c r="G64" s="2">
        <f t="shared" si="1"/>
        <v>23361.25</v>
      </c>
    </row>
    <row r="65" spans="2:7" x14ac:dyDescent="0.3">
      <c r="C65" s="1" t="s">
        <v>130</v>
      </c>
      <c r="D65" s="2">
        <f>SUM(D48:D51)*10%</f>
        <v>23361.25</v>
      </c>
      <c r="E65" s="2">
        <v>0</v>
      </c>
      <c r="F65" s="2"/>
      <c r="G65" s="2">
        <f>D65-E65-F65</f>
        <v>23361.25</v>
      </c>
    </row>
    <row r="66" spans="2:7" x14ac:dyDescent="0.3">
      <c r="D66" s="2">
        <f>SUM(D48:D65)</f>
        <v>468310.80885245901</v>
      </c>
      <c r="E66" s="2">
        <f>SUM(E48:E65)</f>
        <v>116302.33385245902</v>
      </c>
      <c r="F66" s="2">
        <f>SUM(F48:F65)</f>
        <v>53086</v>
      </c>
      <c r="G66" s="2">
        <f>SUM(G48:G65)</f>
        <v>298922.47499999998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108</v>
      </c>
      <c r="E80" s="1" t="s">
        <v>184</v>
      </c>
    </row>
    <row r="81" spans="2:7" x14ac:dyDescent="0.3">
      <c r="B81" s="1" t="s">
        <v>1</v>
      </c>
      <c r="C81" s="2">
        <f>+'Tab-2018'!I29</f>
        <v>590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((C81*366)+D89+D90+D91)/366</f>
        <v>725.00683060109293</v>
      </c>
      <c r="E82" s="1" t="s">
        <v>132</v>
      </c>
      <c r="F82" s="2">
        <f>+F81*365*7</f>
        <v>205932.99999999997</v>
      </c>
    </row>
    <row r="83" spans="2:7" x14ac:dyDescent="0.3">
      <c r="B83" s="1" t="s">
        <v>2</v>
      </c>
      <c r="C83" s="1">
        <v>18</v>
      </c>
    </row>
    <row r="84" spans="2:7" x14ac:dyDescent="0.3">
      <c r="B84" s="1" t="s">
        <v>26</v>
      </c>
      <c r="C84" s="1">
        <v>7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201190</v>
      </c>
      <c r="E88" s="2"/>
      <c r="F88" s="2"/>
      <c r="G88" s="2">
        <f t="shared" ref="G88:G104" si="2">D88-E88-F88</f>
        <v>201190</v>
      </c>
    </row>
    <row r="89" spans="2:7" x14ac:dyDescent="0.3">
      <c r="C89" s="1" t="s">
        <v>9</v>
      </c>
      <c r="D89" s="2">
        <f>C81*30</f>
        <v>17700</v>
      </c>
      <c r="E89" s="2">
        <f>F81*30</f>
        <v>2418</v>
      </c>
      <c r="F89" s="2"/>
      <c r="G89" s="2">
        <f t="shared" si="2"/>
        <v>15282</v>
      </c>
    </row>
    <row r="90" spans="2:7" x14ac:dyDescent="0.3">
      <c r="C90" s="1" t="s">
        <v>10</v>
      </c>
      <c r="D90" s="2">
        <f>C81*15*0.25</f>
        <v>2212.5</v>
      </c>
      <c r="E90" s="2">
        <f>+F81*15</f>
        <v>1209</v>
      </c>
      <c r="F90" s="2"/>
      <c r="G90" s="2">
        <f t="shared" si="2"/>
        <v>1003.5</v>
      </c>
    </row>
    <row r="91" spans="2:7" x14ac:dyDescent="0.3">
      <c r="C91" s="1" t="s">
        <v>11</v>
      </c>
      <c r="D91" s="2">
        <f>C81*50</f>
        <v>29500</v>
      </c>
      <c r="E91" s="2">
        <f>F81*50</f>
        <v>4029.9999999999995</v>
      </c>
      <c r="F91" s="2"/>
      <c r="G91" s="2">
        <f t="shared" si="2"/>
        <v>25470</v>
      </c>
    </row>
    <row r="92" spans="2:7" x14ac:dyDescent="0.3">
      <c r="C92" s="1" t="s">
        <v>12</v>
      </c>
      <c r="D92" s="2">
        <f>(C81/8)*270</f>
        <v>19912.5</v>
      </c>
      <c r="E92" s="2">
        <f>D92*50%</f>
        <v>9956.25</v>
      </c>
      <c r="F92" s="2"/>
      <c r="G92" s="2">
        <f t="shared" si="2"/>
        <v>9956.25</v>
      </c>
    </row>
    <row r="93" spans="2:7" x14ac:dyDescent="0.3">
      <c r="C93" s="1" t="s">
        <v>13</v>
      </c>
      <c r="D93" s="2">
        <v>2850</v>
      </c>
      <c r="E93" s="2">
        <f>F81*15</f>
        <v>1209</v>
      </c>
      <c r="F93" s="2"/>
      <c r="G93" s="2">
        <f t="shared" si="2"/>
        <v>1641</v>
      </c>
    </row>
    <row r="94" spans="2:7" x14ac:dyDescent="0.3">
      <c r="C94" s="1" t="s">
        <v>14</v>
      </c>
      <c r="D94" s="2">
        <f>SUM(D88:D91)*13%</f>
        <v>32578.325000000001</v>
      </c>
      <c r="E94" s="2">
        <f>SUM(D88:D91)*13%</f>
        <v>32578.325000000001</v>
      </c>
      <c r="F94" s="2"/>
      <c r="G94" s="2">
        <f t="shared" si="2"/>
        <v>0</v>
      </c>
    </row>
    <row r="95" spans="2:7" x14ac:dyDescent="0.3">
      <c r="C95" s="1" t="s">
        <v>101</v>
      </c>
      <c r="D95" s="2">
        <f>SUM(D88:D91)*5%</f>
        <v>12530.125</v>
      </c>
      <c r="E95" s="2"/>
      <c r="F95" s="2"/>
      <c r="G95" s="2">
        <f t="shared" si="2"/>
        <v>12530.125</v>
      </c>
    </row>
    <row r="96" spans="2:7" x14ac:dyDescent="0.3">
      <c r="C96" s="1" t="s">
        <v>15</v>
      </c>
      <c r="D96" s="2">
        <f>C81*60</f>
        <v>35400</v>
      </c>
      <c r="E96" s="2">
        <f>D96</f>
        <v>35400</v>
      </c>
      <c r="F96" s="2"/>
      <c r="G96" s="2">
        <f t="shared" si="2"/>
        <v>0</v>
      </c>
    </row>
    <row r="97" spans="3:9" x14ac:dyDescent="0.3">
      <c r="C97" s="1" t="s">
        <v>16</v>
      </c>
      <c r="D97" s="2">
        <f>F81*365*40%</f>
        <v>11767.599999999999</v>
      </c>
      <c r="E97" s="2">
        <f>D97</f>
        <v>11767.599999999999</v>
      </c>
      <c r="F97" s="2"/>
      <c r="G97" s="2">
        <f t="shared" si="2"/>
        <v>0</v>
      </c>
    </row>
    <row r="98" spans="3:9" x14ac:dyDescent="0.3">
      <c r="C98" s="1" t="s">
        <v>178</v>
      </c>
      <c r="D98" s="2">
        <f>C83*C82*40%</f>
        <v>5220.0491803278692</v>
      </c>
      <c r="E98" s="2">
        <f>D98</f>
        <v>5220.0491803278692</v>
      </c>
      <c r="F98" s="2"/>
      <c r="G98" s="2">
        <f t="shared" si="2"/>
        <v>0</v>
      </c>
      <c r="H98" s="5">
        <f>+E96+E97+E98</f>
        <v>52387.64918032787</v>
      </c>
    </row>
    <row r="99" spans="3:9" x14ac:dyDescent="0.3">
      <c r="C99" s="1" t="s">
        <v>179</v>
      </c>
      <c r="D99" s="2">
        <f>C82*C83*60%</f>
        <v>7830.0737704918029</v>
      </c>
      <c r="E99" s="2">
        <f>D99</f>
        <v>7830.0737704918029</v>
      </c>
      <c r="F99" s="2"/>
      <c r="G99" s="2">
        <f t="shared" si="2"/>
        <v>0</v>
      </c>
      <c r="H99" s="5">
        <f>+H98-D109</f>
        <v>22888.049180327871</v>
      </c>
      <c r="I99" s="1" t="s">
        <v>133</v>
      </c>
    </row>
    <row r="100" spans="3:9" x14ac:dyDescent="0.3">
      <c r="C100" s="1" t="s">
        <v>18</v>
      </c>
      <c r="D100" s="2">
        <f>SUM(D88:D91)*5.2%</f>
        <v>13031.330000000002</v>
      </c>
      <c r="E100" s="2">
        <f>D100</f>
        <v>13031.330000000002</v>
      </c>
      <c r="F100" s="2"/>
      <c r="G100" s="2">
        <f t="shared" si="2"/>
        <v>0</v>
      </c>
      <c r="H100" s="5">
        <f>+D98+D99</f>
        <v>13050.122950819672</v>
      </c>
      <c r="I100" s="1">
        <f>+H100/C83</f>
        <v>725.00683060109293</v>
      </c>
    </row>
    <row r="101" spans="3:9" x14ac:dyDescent="0.3">
      <c r="C101" s="1" t="s">
        <v>19</v>
      </c>
      <c r="D101" s="2">
        <f>C81*60</f>
        <v>35400</v>
      </c>
      <c r="E101" s="2"/>
      <c r="F101" s="2">
        <f>D101</f>
        <v>35400</v>
      </c>
      <c r="G101" s="2">
        <f t="shared" si="2"/>
        <v>0</v>
      </c>
    </row>
    <row r="102" spans="3:9" x14ac:dyDescent="0.3">
      <c r="C102" s="1" t="s">
        <v>20</v>
      </c>
      <c r="D102" s="2">
        <f>+F81*275</f>
        <v>22165</v>
      </c>
      <c r="E102" s="2"/>
      <c r="F102" s="2">
        <f>D102</f>
        <v>22165</v>
      </c>
      <c r="G102" s="2">
        <f t="shared" si="2"/>
        <v>0</v>
      </c>
    </row>
    <row r="103" spans="3:9" x14ac:dyDescent="0.3">
      <c r="C103" s="1" t="s">
        <v>21</v>
      </c>
      <c r="D103" s="2">
        <v>3450</v>
      </c>
      <c r="E103" s="2">
        <v>640</v>
      </c>
      <c r="F103" s="2"/>
      <c r="G103" s="2">
        <f t="shared" si="2"/>
        <v>2810</v>
      </c>
    </row>
    <row r="104" spans="3:9" x14ac:dyDescent="0.3">
      <c r="C104" s="1" t="s">
        <v>22</v>
      </c>
      <c r="D104" s="2">
        <f>SUM(D88:D91)*10%</f>
        <v>25060.25</v>
      </c>
      <c r="E104" s="2">
        <f>F81*30-E89</f>
        <v>0</v>
      </c>
      <c r="F104" s="2"/>
      <c r="G104" s="2">
        <f t="shared" si="2"/>
        <v>25060.25</v>
      </c>
    </row>
    <row r="105" spans="3:9" x14ac:dyDescent="0.3">
      <c r="C105" s="1" t="s">
        <v>130</v>
      </c>
      <c r="D105" s="2">
        <f>SUM(D88:D91)*10%</f>
        <v>25060.25</v>
      </c>
      <c r="E105" s="2">
        <v>0</v>
      </c>
      <c r="F105" s="2"/>
      <c r="G105" s="2">
        <f>D105-E105-F105</f>
        <v>25060.25</v>
      </c>
    </row>
    <row r="106" spans="3:9" x14ac:dyDescent="0.3">
      <c r="D106" s="2">
        <f>SUM(D88:D105)</f>
        <v>502858.00295081967</v>
      </c>
      <c r="E106" s="2">
        <f>SUM(E88:E105)</f>
        <v>125289.62795081966</v>
      </c>
      <c r="F106" s="2">
        <f>SUM(F88:F105)</f>
        <v>57565</v>
      </c>
      <c r="G106" s="2">
        <f>SUM(G88:G105)</f>
        <v>320003.375</v>
      </c>
    </row>
    <row r="108" spans="3:9" x14ac:dyDescent="0.3">
      <c r="C108" s="1" t="s">
        <v>135</v>
      </c>
    </row>
    <row r="109" spans="3:9" x14ac:dyDescent="0.3">
      <c r="D109" s="2">
        <f>F81*366</f>
        <v>29499.599999999999</v>
      </c>
      <c r="E109" s="1" t="s">
        <v>87</v>
      </c>
    </row>
    <row r="110" spans="3:9" x14ac:dyDescent="0.3">
      <c r="C110" s="1" t="s">
        <v>196</v>
      </c>
      <c r="E110" s="1" t="s">
        <v>86</v>
      </c>
    </row>
    <row r="112" spans="3:9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8"/>
  <sheetViews>
    <sheetView workbookViewId="0">
      <selection activeCell="C19" sqref="C19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4.28515625" style="1" customWidth="1"/>
    <col min="6" max="6" width="12.140625" style="1" customWidth="1"/>
    <col min="7" max="7" width="12.5703125" style="1" customWidth="1"/>
    <col min="8" max="16384" width="11.42578125" style="1"/>
  </cols>
  <sheetData>
    <row r="1" spans="2:7" x14ac:dyDescent="0.3">
      <c r="B1" s="1" t="s">
        <v>0</v>
      </c>
      <c r="C1" s="1" t="s">
        <v>110</v>
      </c>
      <c r="E1" s="1" t="s">
        <v>184</v>
      </c>
    </row>
    <row r="2" spans="2:7" x14ac:dyDescent="0.3">
      <c r="B2" s="1" t="s">
        <v>1</v>
      </c>
      <c r="C2" s="2">
        <f>+'Tab-2018'!I30</f>
        <v>600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737.29508196721315</v>
      </c>
    </row>
    <row r="4" spans="2:7" x14ac:dyDescent="0.3">
      <c r="B4" s="1" t="s">
        <v>2</v>
      </c>
      <c r="C4" s="1">
        <v>28</v>
      </c>
    </row>
    <row r="5" spans="2:7" x14ac:dyDescent="0.3">
      <c r="B5" s="1" t="s">
        <v>26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198600</v>
      </c>
      <c r="E9" s="2"/>
      <c r="F9" s="2"/>
      <c r="G9" s="2">
        <f t="shared" ref="G9:G25" si="0">D9-E9-F9</f>
        <v>198600</v>
      </c>
    </row>
    <row r="10" spans="2:7" x14ac:dyDescent="0.3">
      <c r="C10" s="1" t="s">
        <v>9</v>
      </c>
      <c r="D10" s="2">
        <f>C2*30</f>
        <v>18000</v>
      </c>
      <c r="E10" s="2">
        <f>F2*30</f>
        <v>2418</v>
      </c>
      <c r="F10" s="2"/>
      <c r="G10" s="2">
        <f t="shared" si="0"/>
        <v>15582</v>
      </c>
    </row>
    <row r="11" spans="2:7" x14ac:dyDescent="0.3">
      <c r="C11" s="1" t="s">
        <v>10</v>
      </c>
      <c r="D11" s="2">
        <f>C2*15*0.25</f>
        <v>2250</v>
      </c>
      <c r="E11" s="2">
        <f>+F2*15</f>
        <v>1209</v>
      </c>
      <c r="F11" s="2"/>
      <c r="G11" s="2">
        <f t="shared" si="0"/>
        <v>1041</v>
      </c>
    </row>
    <row r="12" spans="2:7" x14ac:dyDescent="0.3">
      <c r="C12" s="1" t="s">
        <v>11</v>
      </c>
      <c r="D12" s="2">
        <f>C2*50</f>
        <v>30000</v>
      </c>
      <c r="E12" s="2">
        <f>F2*50</f>
        <v>4029.9999999999995</v>
      </c>
      <c r="F12" s="2"/>
      <c r="G12" s="2">
        <f t="shared" si="0"/>
        <v>25970</v>
      </c>
    </row>
    <row r="13" spans="2:7" x14ac:dyDescent="0.3">
      <c r="C13" s="1" t="s">
        <v>12</v>
      </c>
      <c r="D13" s="2">
        <f>(C2/8)*270</f>
        <v>20250</v>
      </c>
      <c r="E13" s="2">
        <f>D13*50%</f>
        <v>10125</v>
      </c>
      <c r="F13" s="2"/>
      <c r="G13" s="2">
        <f t="shared" si="0"/>
        <v>10125</v>
      </c>
    </row>
    <row r="14" spans="2:7" x14ac:dyDescent="0.3">
      <c r="C14" s="1" t="s">
        <v>13</v>
      </c>
      <c r="D14" s="2">
        <v>2500</v>
      </c>
      <c r="E14" s="2">
        <f>F2*15</f>
        <v>1209</v>
      </c>
      <c r="F14" s="2"/>
      <c r="G14" s="2">
        <f t="shared" si="0"/>
        <v>1291</v>
      </c>
    </row>
    <row r="15" spans="2:7" x14ac:dyDescent="0.3">
      <c r="C15" s="1" t="s">
        <v>14</v>
      </c>
      <c r="D15" s="2">
        <f>SUM(D9:D12)*13%</f>
        <v>32350.5</v>
      </c>
      <c r="E15" s="2">
        <f>SUM(D9:D12)*13%</f>
        <v>32350.5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12442.5</v>
      </c>
      <c r="E16" s="2"/>
      <c r="F16" s="2"/>
      <c r="G16" s="2">
        <f t="shared" si="0"/>
        <v>12442.5</v>
      </c>
    </row>
    <row r="17" spans="3:7" x14ac:dyDescent="0.3">
      <c r="C17" s="1" t="s">
        <v>15</v>
      </c>
      <c r="D17" s="2">
        <f>C2*60</f>
        <v>36000</v>
      </c>
      <c r="E17" s="2">
        <f>D17</f>
        <v>36000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F2*365*40%</f>
        <v>11767.599999999999</v>
      </c>
      <c r="E18" s="2">
        <f>D18</f>
        <v>11767.599999999999</v>
      </c>
      <c r="F18" s="2"/>
      <c r="G18" s="2">
        <f t="shared" si="0"/>
        <v>0</v>
      </c>
    </row>
    <row r="19" spans="3:7" x14ac:dyDescent="0.3">
      <c r="C19" s="1" t="s">
        <v>178</v>
      </c>
      <c r="D19" s="2">
        <f>C4*C3*40%</f>
        <v>8257.7049180327867</v>
      </c>
      <c r="E19" s="2">
        <f>D19</f>
        <v>8257.7049180327867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C3*C4*60%</f>
        <v>12386.557377049181</v>
      </c>
      <c r="E20" s="2">
        <f>D20</f>
        <v>12386.557377049181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12940.2</v>
      </c>
      <c r="E21" s="2">
        <f>D21</f>
        <v>12940.2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36000</v>
      </c>
      <c r="E22" s="2"/>
      <c r="F22" s="2">
        <f>D22</f>
        <v>36000</v>
      </c>
      <c r="G22" s="2">
        <f t="shared" si="0"/>
        <v>0</v>
      </c>
    </row>
    <row r="23" spans="3:7" x14ac:dyDescent="0.3">
      <c r="C23" s="1" t="s">
        <v>20</v>
      </c>
      <c r="D23" s="2">
        <f>+F2*275</f>
        <v>22165</v>
      </c>
      <c r="E23" s="2"/>
      <c r="F23" s="2">
        <f>D23</f>
        <v>22165</v>
      </c>
      <c r="G23" s="2">
        <f t="shared" si="0"/>
        <v>0</v>
      </c>
    </row>
    <row r="24" spans="3:7" x14ac:dyDescent="0.3">
      <c r="C24" s="1" t="s">
        <v>21</v>
      </c>
      <c r="D24" s="2">
        <v>3750</v>
      </c>
      <c r="E24" s="2">
        <v>640</v>
      </c>
      <c r="F24" s="2"/>
      <c r="G24" s="2">
        <f t="shared" si="0"/>
        <v>3110</v>
      </c>
    </row>
    <row r="25" spans="3:7" x14ac:dyDescent="0.3">
      <c r="C25" s="1" t="s">
        <v>22</v>
      </c>
      <c r="D25" s="2">
        <f>SUM(D9:D12)*10%</f>
        <v>24885</v>
      </c>
      <c r="E25" s="2">
        <f>F2*30-E10</f>
        <v>0</v>
      </c>
      <c r="F25" s="2"/>
      <c r="G25" s="2">
        <f t="shared" si="0"/>
        <v>24885</v>
      </c>
    </row>
    <row r="26" spans="3:7" x14ac:dyDescent="0.3">
      <c r="C26" s="1" t="s">
        <v>130</v>
      </c>
      <c r="D26" s="2">
        <f>SUM(D9:D12)*10%</f>
        <v>24885</v>
      </c>
      <c r="E26" s="2">
        <v>0</v>
      </c>
      <c r="F26" s="2"/>
      <c r="G26" s="2">
        <f>D26-E26-F26</f>
        <v>24885</v>
      </c>
    </row>
    <row r="27" spans="3:7" x14ac:dyDescent="0.3">
      <c r="D27" s="2">
        <f>SUM(D9:D26)</f>
        <v>509430.06229508197</v>
      </c>
      <c r="E27" s="2">
        <f>SUM(E9:E26)</f>
        <v>133333.56229508197</v>
      </c>
      <c r="F27" s="2">
        <f>SUM(F9:F26)</f>
        <v>58165</v>
      </c>
      <c r="G27" s="2">
        <f>SUM(G9:G26)</f>
        <v>317931.5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110</v>
      </c>
      <c r="E40" s="1" t="s">
        <v>184</v>
      </c>
    </row>
    <row r="41" spans="2:7" x14ac:dyDescent="0.3">
      <c r="B41" s="1" t="s">
        <v>1</v>
      </c>
      <c r="C41" s="2">
        <f>+'Tab-2018'!I31</f>
        <v>630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((C41*366)+D49+D50+D51)/366</f>
        <v>774.15983606557381</v>
      </c>
    </row>
    <row r="43" spans="2:7" x14ac:dyDescent="0.3">
      <c r="B43" s="1" t="s">
        <v>2</v>
      </c>
      <c r="C43" s="1">
        <v>28</v>
      </c>
    </row>
    <row r="44" spans="2:7" x14ac:dyDescent="0.3">
      <c r="B44" s="1" t="s">
        <v>26</v>
      </c>
      <c r="C44" s="1">
        <v>7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208530</v>
      </c>
      <c r="E48" s="2"/>
      <c r="F48" s="2"/>
      <c r="G48" s="2">
        <f t="shared" ref="G48:G64" si="1">D48-E48-F48</f>
        <v>208530</v>
      </c>
    </row>
    <row r="49" spans="3:7" x14ac:dyDescent="0.3">
      <c r="C49" s="1" t="s">
        <v>9</v>
      </c>
      <c r="D49" s="2">
        <f>C41*30</f>
        <v>18900</v>
      </c>
      <c r="E49" s="2">
        <f>F41*30</f>
        <v>2191.2000000000003</v>
      </c>
      <c r="F49" s="2"/>
      <c r="G49" s="2">
        <f t="shared" si="1"/>
        <v>16708.8</v>
      </c>
    </row>
    <row r="50" spans="3:7" x14ac:dyDescent="0.3">
      <c r="C50" s="1" t="s">
        <v>10</v>
      </c>
      <c r="D50" s="2">
        <f>C41*15*0.25</f>
        <v>2362.5</v>
      </c>
      <c r="E50" s="2">
        <f>+F41*15</f>
        <v>1095.6000000000001</v>
      </c>
      <c r="F50" s="2"/>
      <c r="G50" s="2">
        <f t="shared" si="1"/>
        <v>1266.8999999999999</v>
      </c>
    </row>
    <row r="51" spans="3:7" x14ac:dyDescent="0.3">
      <c r="C51" s="1" t="s">
        <v>11</v>
      </c>
      <c r="D51" s="2">
        <f>C41*50</f>
        <v>31500</v>
      </c>
      <c r="E51" s="2">
        <f>F41*50</f>
        <v>3652.0000000000005</v>
      </c>
      <c r="F51" s="2"/>
      <c r="G51" s="2">
        <f t="shared" si="1"/>
        <v>27848</v>
      </c>
    </row>
    <row r="52" spans="3:7" x14ac:dyDescent="0.3">
      <c r="C52" s="1" t="s">
        <v>12</v>
      </c>
      <c r="D52" s="2">
        <f>(C41/8)*270</f>
        <v>21262.5</v>
      </c>
      <c r="E52" s="2">
        <f>D52*50%</f>
        <v>10631.25</v>
      </c>
      <c r="F52" s="2"/>
      <c r="G52" s="2">
        <f t="shared" si="1"/>
        <v>10631.25</v>
      </c>
    </row>
    <row r="53" spans="3:7" x14ac:dyDescent="0.3">
      <c r="C53" s="1" t="s">
        <v>13</v>
      </c>
      <c r="D53" s="2">
        <v>2500</v>
      </c>
      <c r="E53" s="2">
        <f>F41*15</f>
        <v>1095.6000000000001</v>
      </c>
      <c r="F53" s="2"/>
      <c r="G53" s="2">
        <f t="shared" si="1"/>
        <v>1404.3999999999999</v>
      </c>
    </row>
    <row r="54" spans="3:7" x14ac:dyDescent="0.3">
      <c r="C54" s="1" t="s">
        <v>14</v>
      </c>
      <c r="D54" s="2">
        <f>SUM(D48:D51)*13%</f>
        <v>33968.025000000001</v>
      </c>
      <c r="E54" s="2">
        <f>SUM(D48:D51)*13%</f>
        <v>33968.025000000001</v>
      </c>
      <c r="F54" s="2"/>
      <c r="G54" s="2">
        <f t="shared" si="1"/>
        <v>0</v>
      </c>
    </row>
    <row r="55" spans="3:7" x14ac:dyDescent="0.3">
      <c r="C55" s="1" t="s">
        <v>101</v>
      </c>
      <c r="D55" s="2">
        <f>SUM(D48:D51)*5%</f>
        <v>13064.625</v>
      </c>
      <c r="E55" s="2"/>
      <c r="F55" s="2"/>
      <c r="G55" s="2">
        <f t="shared" si="1"/>
        <v>13064.625</v>
      </c>
    </row>
    <row r="56" spans="3:7" x14ac:dyDescent="0.3">
      <c r="C56" s="1" t="s">
        <v>15</v>
      </c>
      <c r="D56" s="2">
        <f>C41*60</f>
        <v>37800</v>
      </c>
      <c r="E56" s="2">
        <f>D56</f>
        <v>37800</v>
      </c>
      <c r="F56" s="2"/>
      <c r="G56" s="2">
        <f t="shared" si="1"/>
        <v>0</v>
      </c>
    </row>
    <row r="57" spans="3:7" x14ac:dyDescent="0.3">
      <c r="C57" s="1" t="s">
        <v>16</v>
      </c>
      <c r="D57" s="2">
        <f>F41*365*40%</f>
        <v>10663.840000000002</v>
      </c>
      <c r="E57" s="2">
        <f>D57</f>
        <v>10663.840000000002</v>
      </c>
      <c r="F57" s="2"/>
      <c r="G57" s="2">
        <f t="shared" si="1"/>
        <v>0</v>
      </c>
    </row>
    <row r="58" spans="3:7" x14ac:dyDescent="0.3">
      <c r="C58" s="1" t="s">
        <v>178</v>
      </c>
      <c r="D58" s="2">
        <f>C43*C42*40%</f>
        <v>8670.5901639344283</v>
      </c>
      <c r="E58" s="2">
        <f>D58</f>
        <v>8670.5901639344283</v>
      </c>
      <c r="F58" s="2"/>
      <c r="G58" s="2">
        <f t="shared" si="1"/>
        <v>0</v>
      </c>
    </row>
    <row r="59" spans="3:7" x14ac:dyDescent="0.3">
      <c r="C59" s="1" t="s">
        <v>179</v>
      </c>
      <c r="D59" s="2">
        <f>C42*C43*60%</f>
        <v>13005.88524590164</v>
      </c>
      <c r="E59" s="2">
        <f>D59</f>
        <v>13005.88524590164</v>
      </c>
      <c r="F59" s="2"/>
      <c r="G59" s="2">
        <f t="shared" si="1"/>
        <v>0</v>
      </c>
    </row>
    <row r="60" spans="3:7" x14ac:dyDescent="0.3">
      <c r="C60" s="1" t="s">
        <v>18</v>
      </c>
      <c r="D60" s="2">
        <f>SUM(D48:D51)*5.2%</f>
        <v>13587.210000000001</v>
      </c>
      <c r="E60" s="2">
        <f>D60</f>
        <v>13587.210000000001</v>
      </c>
      <c r="F60" s="2"/>
      <c r="G60" s="2">
        <f t="shared" si="1"/>
        <v>0</v>
      </c>
    </row>
    <row r="61" spans="3:7" x14ac:dyDescent="0.3">
      <c r="C61" s="1" t="s">
        <v>19</v>
      </c>
      <c r="D61" s="2">
        <f>C41*60</f>
        <v>37800</v>
      </c>
      <c r="E61" s="2"/>
      <c r="F61" s="2">
        <f>D61</f>
        <v>37800</v>
      </c>
      <c r="G61" s="2">
        <f t="shared" si="1"/>
        <v>0</v>
      </c>
    </row>
    <row r="62" spans="3:7" x14ac:dyDescent="0.3">
      <c r="C62" s="1" t="s">
        <v>20</v>
      </c>
      <c r="D62" s="2">
        <f>+F41*275</f>
        <v>20086</v>
      </c>
      <c r="E62" s="2"/>
      <c r="F62" s="2">
        <f>D62</f>
        <v>20086</v>
      </c>
      <c r="G62" s="2">
        <f t="shared" si="1"/>
        <v>0</v>
      </c>
    </row>
    <row r="63" spans="3:7" x14ac:dyDescent="0.3">
      <c r="C63" s="1" t="s">
        <v>21</v>
      </c>
      <c r="D63" s="2">
        <v>3750</v>
      </c>
      <c r="E63" s="2">
        <v>640</v>
      </c>
      <c r="F63" s="2"/>
      <c r="G63" s="2">
        <f t="shared" si="1"/>
        <v>3110</v>
      </c>
    </row>
    <row r="64" spans="3:7" x14ac:dyDescent="0.3">
      <c r="C64" s="1" t="s">
        <v>22</v>
      </c>
      <c r="D64" s="2">
        <f>SUM(D48:D51)*10%</f>
        <v>26129.25</v>
      </c>
      <c r="E64" s="2">
        <f>F41*30-E49</f>
        <v>0</v>
      </c>
      <c r="F64" s="2"/>
      <c r="G64" s="2">
        <f t="shared" si="1"/>
        <v>26129.25</v>
      </c>
    </row>
    <row r="65" spans="2:7" x14ac:dyDescent="0.3">
      <c r="C65" s="1" t="s">
        <v>130</v>
      </c>
      <c r="D65" s="2">
        <f>SUM(D48:D51)*10%</f>
        <v>26129.25</v>
      </c>
      <c r="E65" s="2">
        <v>0</v>
      </c>
      <c r="F65" s="2"/>
      <c r="G65" s="2">
        <f>D65-E65-F65</f>
        <v>26129.25</v>
      </c>
    </row>
    <row r="66" spans="2:7" x14ac:dyDescent="0.3">
      <c r="D66" s="2">
        <f>SUM(D48:D65)</f>
        <v>529709.67540983623</v>
      </c>
      <c r="E66" s="2">
        <f>SUM(E48:E65)</f>
        <v>137001.20040983605</v>
      </c>
      <c r="F66" s="2">
        <f>SUM(F48:F65)</f>
        <v>57886</v>
      </c>
      <c r="G66" s="2">
        <f>SUM(G48:G65)</f>
        <v>334822.47499999998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110</v>
      </c>
      <c r="E80" s="1" t="s">
        <v>184</v>
      </c>
    </row>
    <row r="81" spans="2:7" x14ac:dyDescent="0.3">
      <c r="B81" s="1" t="s">
        <v>1</v>
      </c>
      <c r="C81" s="2">
        <f>+'Tab-2018'!I32</f>
        <v>650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((C81*366)+D89+D90+D91)/366</f>
        <v>798.73633879781426</v>
      </c>
    </row>
    <row r="83" spans="2:7" x14ac:dyDescent="0.3">
      <c r="B83" s="1" t="s">
        <v>2</v>
      </c>
      <c r="C83" s="1">
        <v>28</v>
      </c>
    </row>
    <row r="84" spans="2:7" x14ac:dyDescent="0.3">
      <c r="B84" s="1" t="s">
        <v>26</v>
      </c>
      <c r="C84" s="1">
        <v>7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215150</v>
      </c>
      <c r="E88" s="2"/>
      <c r="F88" s="2"/>
      <c r="G88" s="2">
        <f t="shared" ref="G88:G104" si="2">D88-E88-F88</f>
        <v>215150</v>
      </c>
    </row>
    <row r="89" spans="2:7" x14ac:dyDescent="0.3">
      <c r="C89" s="1" t="s">
        <v>9</v>
      </c>
      <c r="D89" s="2">
        <f>C81*30</f>
        <v>19500</v>
      </c>
      <c r="E89" s="2">
        <f>F81*30</f>
        <v>2418</v>
      </c>
      <c r="F89" s="2"/>
      <c r="G89" s="2">
        <f t="shared" si="2"/>
        <v>17082</v>
      </c>
    </row>
    <row r="90" spans="2:7" x14ac:dyDescent="0.3">
      <c r="C90" s="1" t="s">
        <v>10</v>
      </c>
      <c r="D90" s="2">
        <f>C81*15*0.25</f>
        <v>2437.5</v>
      </c>
      <c r="E90" s="2">
        <f>+F81*15</f>
        <v>1209</v>
      </c>
      <c r="F90" s="2"/>
      <c r="G90" s="2">
        <f t="shared" si="2"/>
        <v>1228.5</v>
      </c>
    </row>
    <row r="91" spans="2:7" x14ac:dyDescent="0.3">
      <c r="C91" s="1" t="s">
        <v>11</v>
      </c>
      <c r="D91" s="2">
        <f>C81*50</f>
        <v>32500</v>
      </c>
      <c r="E91" s="2">
        <f>F81*50</f>
        <v>4029.9999999999995</v>
      </c>
      <c r="F91" s="2"/>
      <c r="G91" s="2">
        <f t="shared" si="2"/>
        <v>28470</v>
      </c>
    </row>
    <row r="92" spans="2:7" x14ac:dyDescent="0.3">
      <c r="C92" s="1" t="s">
        <v>12</v>
      </c>
      <c r="D92" s="2">
        <f>(C81/8)*270</f>
        <v>21937.5</v>
      </c>
      <c r="E92" s="2">
        <f>D92*50%</f>
        <v>10968.75</v>
      </c>
      <c r="F92" s="2"/>
      <c r="G92" s="2">
        <f t="shared" si="2"/>
        <v>10968.75</v>
      </c>
    </row>
    <row r="93" spans="2:7" x14ac:dyDescent="0.3">
      <c r="C93" s="1" t="s">
        <v>13</v>
      </c>
      <c r="D93" s="2">
        <v>2500</v>
      </c>
      <c r="E93" s="2">
        <f>F81*15</f>
        <v>1209</v>
      </c>
      <c r="F93" s="2"/>
      <c r="G93" s="2">
        <f t="shared" si="2"/>
        <v>1291</v>
      </c>
    </row>
    <row r="94" spans="2:7" x14ac:dyDescent="0.3">
      <c r="C94" s="1" t="s">
        <v>14</v>
      </c>
      <c r="D94" s="2">
        <f>SUM(D88:D91)*13%</f>
        <v>35046.375</v>
      </c>
      <c r="E94" s="2">
        <f>SUM(D88:D91)*13%</f>
        <v>35046.375</v>
      </c>
      <c r="F94" s="2"/>
      <c r="G94" s="2">
        <f t="shared" si="2"/>
        <v>0</v>
      </c>
    </row>
    <row r="95" spans="2:7" x14ac:dyDescent="0.3">
      <c r="C95" s="1" t="s">
        <v>101</v>
      </c>
      <c r="D95" s="2">
        <f>SUM(D88:D91)*5%</f>
        <v>13479.375</v>
      </c>
      <c r="E95" s="2"/>
      <c r="F95" s="2"/>
      <c r="G95" s="2">
        <f t="shared" si="2"/>
        <v>13479.375</v>
      </c>
    </row>
    <row r="96" spans="2:7" x14ac:dyDescent="0.3">
      <c r="C96" s="1" t="s">
        <v>15</v>
      </c>
      <c r="D96" s="2">
        <f>C81*60</f>
        <v>39000</v>
      </c>
      <c r="E96" s="2">
        <f>D96</f>
        <v>39000</v>
      </c>
      <c r="F96" s="2"/>
      <c r="G96" s="2">
        <f t="shared" si="2"/>
        <v>0</v>
      </c>
    </row>
    <row r="97" spans="3:7" x14ac:dyDescent="0.3">
      <c r="C97" s="1" t="s">
        <v>16</v>
      </c>
      <c r="D97" s="2">
        <f>F81*365*40%</f>
        <v>11767.599999999999</v>
      </c>
      <c r="E97" s="2">
        <f>D97</f>
        <v>11767.599999999999</v>
      </c>
      <c r="F97" s="2"/>
      <c r="G97" s="2">
        <f t="shared" si="2"/>
        <v>0</v>
      </c>
    </row>
    <row r="98" spans="3:7" x14ac:dyDescent="0.3">
      <c r="C98" s="1" t="s">
        <v>178</v>
      </c>
      <c r="D98" s="2">
        <f>C83*C82*40%</f>
        <v>8945.8469945355209</v>
      </c>
      <c r="E98" s="2">
        <f>D98</f>
        <v>8945.8469945355209</v>
      </c>
      <c r="F98" s="2"/>
      <c r="G98" s="2">
        <f t="shared" si="2"/>
        <v>0</v>
      </c>
    </row>
    <row r="99" spans="3:7" x14ac:dyDescent="0.3">
      <c r="C99" s="1" t="s">
        <v>179</v>
      </c>
      <c r="D99" s="2">
        <f>C82*C83*60%</f>
        <v>13418.77049180328</v>
      </c>
      <c r="E99" s="2">
        <f>D99</f>
        <v>13418.77049180328</v>
      </c>
      <c r="F99" s="2"/>
      <c r="G99" s="2">
        <f t="shared" si="2"/>
        <v>0</v>
      </c>
    </row>
    <row r="100" spans="3:7" x14ac:dyDescent="0.3">
      <c r="C100" s="1" t="s">
        <v>18</v>
      </c>
      <c r="D100" s="2">
        <f>SUM(D88:D91)*5.2%</f>
        <v>14018.550000000001</v>
      </c>
      <c r="E100" s="2">
        <f>D100</f>
        <v>14018.550000000001</v>
      </c>
      <c r="F100" s="2"/>
      <c r="G100" s="2">
        <f t="shared" si="2"/>
        <v>0</v>
      </c>
    </row>
    <row r="101" spans="3:7" x14ac:dyDescent="0.3">
      <c r="C101" s="1" t="s">
        <v>19</v>
      </c>
      <c r="D101" s="2">
        <f>C81*60</f>
        <v>39000</v>
      </c>
      <c r="E101" s="2"/>
      <c r="F101" s="2">
        <f>D101</f>
        <v>39000</v>
      </c>
      <c r="G101" s="2">
        <f t="shared" si="2"/>
        <v>0</v>
      </c>
    </row>
    <row r="102" spans="3:7" x14ac:dyDescent="0.3">
      <c r="C102" s="1" t="s">
        <v>20</v>
      </c>
      <c r="D102" s="2">
        <f>+F81*275</f>
        <v>22165</v>
      </c>
      <c r="E102" s="2"/>
      <c r="F102" s="2">
        <f>D102</f>
        <v>22165</v>
      </c>
      <c r="G102" s="2">
        <f t="shared" si="2"/>
        <v>0</v>
      </c>
    </row>
    <row r="103" spans="3:7" x14ac:dyDescent="0.3">
      <c r="C103" s="1" t="s">
        <v>21</v>
      </c>
      <c r="D103" s="2">
        <v>3750</v>
      </c>
      <c r="E103" s="2">
        <v>640</v>
      </c>
      <c r="F103" s="2"/>
      <c r="G103" s="2">
        <f t="shared" si="2"/>
        <v>3110</v>
      </c>
    </row>
    <row r="104" spans="3:7" x14ac:dyDescent="0.3">
      <c r="C104" s="1" t="s">
        <v>22</v>
      </c>
      <c r="D104" s="2">
        <f>SUM(D88:D91)*10%</f>
        <v>26958.75</v>
      </c>
      <c r="E104" s="2">
        <f>F81*30-E89</f>
        <v>0</v>
      </c>
      <c r="F104" s="2"/>
      <c r="G104" s="2">
        <f t="shared" si="2"/>
        <v>26958.75</v>
      </c>
    </row>
    <row r="105" spans="3:7" x14ac:dyDescent="0.3">
      <c r="C105" s="1" t="s">
        <v>130</v>
      </c>
      <c r="D105" s="2">
        <f>SUM(D88:D91)*10%</f>
        <v>26958.75</v>
      </c>
      <c r="E105" s="2">
        <v>0</v>
      </c>
      <c r="F105" s="2"/>
      <c r="G105" s="2">
        <f>D105-E105-F105</f>
        <v>26958.75</v>
      </c>
    </row>
    <row r="106" spans="3:7" x14ac:dyDescent="0.3">
      <c r="D106" s="2">
        <f>SUM(D88:D105)</f>
        <v>548534.01748633874</v>
      </c>
      <c r="E106" s="2">
        <f>SUM(E88:E105)</f>
        <v>142671.89248633879</v>
      </c>
      <c r="F106" s="2">
        <f>SUM(F88:F105)</f>
        <v>61165</v>
      </c>
      <c r="G106" s="2">
        <f>SUM(G88:G105)</f>
        <v>344697.125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8"/>
  <sheetViews>
    <sheetView topLeftCell="A95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2.85546875" style="1" customWidth="1"/>
    <col min="6" max="6" width="11.42578125" style="1"/>
    <col min="7" max="7" width="12.42578125" style="1" customWidth="1"/>
    <col min="8" max="16384" width="11.42578125" style="1"/>
  </cols>
  <sheetData>
    <row r="1" spans="2:7" x14ac:dyDescent="0.3">
      <c r="B1" s="1" t="s">
        <v>0</v>
      </c>
      <c r="C1" s="1" t="s">
        <v>109</v>
      </c>
      <c r="E1" s="1" t="s">
        <v>184</v>
      </c>
    </row>
    <row r="2" spans="2:7" x14ac:dyDescent="0.3">
      <c r="B2" s="1" t="s">
        <v>1</v>
      </c>
      <c r="C2" s="2">
        <f>+'Tab-2018'!I33</f>
        <v>680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835.60109289617492</v>
      </c>
    </row>
    <row r="4" spans="2:7" x14ac:dyDescent="0.3">
      <c r="B4" s="1" t="s">
        <v>2</v>
      </c>
      <c r="C4" s="1">
        <v>18</v>
      </c>
    </row>
    <row r="5" spans="2:7" x14ac:dyDescent="0.3">
      <c r="B5" s="1" t="s">
        <v>26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231880</v>
      </c>
      <c r="E9" s="2"/>
      <c r="F9" s="2"/>
      <c r="G9" s="2">
        <f t="shared" ref="G9:G25" si="0">D9-E9-F9</f>
        <v>231880</v>
      </c>
    </row>
    <row r="10" spans="2:7" x14ac:dyDescent="0.3">
      <c r="C10" s="1" t="s">
        <v>9</v>
      </c>
      <c r="D10" s="2">
        <f>C2*30</f>
        <v>20400</v>
      </c>
      <c r="E10" s="2">
        <f>F2*30</f>
        <v>2418</v>
      </c>
      <c r="F10" s="2"/>
      <c r="G10" s="2">
        <f t="shared" si="0"/>
        <v>17982</v>
      </c>
    </row>
    <row r="11" spans="2:7" x14ac:dyDescent="0.3">
      <c r="C11" s="1" t="s">
        <v>10</v>
      </c>
      <c r="D11" s="2">
        <f>C2*15*0.25</f>
        <v>2550</v>
      </c>
      <c r="E11" s="2">
        <f>F2*15</f>
        <v>1209</v>
      </c>
      <c r="F11" s="2"/>
      <c r="G11" s="2">
        <f t="shared" si="0"/>
        <v>1341</v>
      </c>
    </row>
    <row r="12" spans="2:7" x14ac:dyDescent="0.3">
      <c r="C12" s="1" t="s">
        <v>11</v>
      </c>
      <c r="D12" s="2">
        <f>C2*50</f>
        <v>34000</v>
      </c>
      <c r="E12" s="2">
        <f>F2*50</f>
        <v>4029.9999999999995</v>
      </c>
      <c r="F12" s="2"/>
      <c r="G12" s="2">
        <f t="shared" si="0"/>
        <v>29970</v>
      </c>
    </row>
    <row r="13" spans="2:7" x14ac:dyDescent="0.3">
      <c r="C13" s="1" t="s">
        <v>12</v>
      </c>
      <c r="D13" s="2">
        <f>(C2/8)*270</f>
        <v>22950</v>
      </c>
      <c r="E13" s="2">
        <f>D13*50%</f>
        <v>11475</v>
      </c>
      <c r="F13" s="2"/>
      <c r="G13" s="2">
        <f t="shared" si="0"/>
        <v>11475</v>
      </c>
    </row>
    <row r="14" spans="2:7" x14ac:dyDescent="0.3">
      <c r="C14" s="1" t="s">
        <v>13</v>
      </c>
      <c r="D14" s="2">
        <v>2350</v>
      </c>
      <c r="E14" s="2">
        <f>F2*15</f>
        <v>1209</v>
      </c>
      <c r="F14" s="2"/>
      <c r="G14" s="2">
        <f t="shared" si="0"/>
        <v>1141</v>
      </c>
    </row>
    <row r="15" spans="2:7" x14ac:dyDescent="0.3">
      <c r="C15" s="1" t="s">
        <v>14</v>
      </c>
      <c r="D15" s="2">
        <f>SUM(D9:D12)*13%</f>
        <v>37547.9</v>
      </c>
      <c r="E15" s="2">
        <f>SUM(D9:D12)*13%</f>
        <v>37547.9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14441.5</v>
      </c>
      <c r="E16" s="2"/>
      <c r="F16" s="2"/>
      <c r="G16" s="2">
        <f t="shared" si="0"/>
        <v>14441.5</v>
      </c>
    </row>
    <row r="17" spans="3:7" x14ac:dyDescent="0.3">
      <c r="C17" s="1" t="s">
        <v>15</v>
      </c>
      <c r="D17" s="2">
        <f>C2*60</f>
        <v>40800</v>
      </c>
      <c r="E17" s="2">
        <f>D17</f>
        <v>40800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F2*365*40%</f>
        <v>11767.599999999999</v>
      </c>
      <c r="E18" s="2">
        <f>D18</f>
        <v>11767.599999999999</v>
      </c>
      <c r="F18" s="2"/>
      <c r="G18" s="2">
        <f t="shared" si="0"/>
        <v>0</v>
      </c>
    </row>
    <row r="19" spans="3:7" x14ac:dyDescent="0.3">
      <c r="C19" s="1" t="s">
        <v>178</v>
      </c>
      <c r="D19" s="2">
        <f>C4*C3*40%</f>
        <v>6016.3278688524597</v>
      </c>
      <c r="E19" s="2">
        <f>D19</f>
        <v>6016.3278688524597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C3*C4*60%</f>
        <v>9024.4918032786882</v>
      </c>
      <c r="E20" s="2">
        <f>D20</f>
        <v>9024.4918032786882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15019.160000000002</v>
      </c>
      <c r="E21" s="2">
        <f>D21</f>
        <v>15019.160000000002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40800</v>
      </c>
      <c r="E22" s="2"/>
      <c r="F22" s="2">
        <f>D22</f>
        <v>40800</v>
      </c>
      <c r="G22" s="2">
        <f t="shared" si="0"/>
        <v>0</v>
      </c>
    </row>
    <row r="23" spans="3:7" x14ac:dyDescent="0.3">
      <c r="C23" s="1" t="s">
        <v>20</v>
      </c>
      <c r="D23" s="2">
        <f>+F2*275</f>
        <v>22165</v>
      </c>
      <c r="E23" s="2"/>
      <c r="F23" s="2">
        <f>D23</f>
        <v>22165</v>
      </c>
      <c r="G23" s="2">
        <f t="shared" si="0"/>
        <v>0</v>
      </c>
    </row>
    <row r="24" spans="3:7" x14ac:dyDescent="0.3">
      <c r="C24" s="1" t="s">
        <v>21</v>
      </c>
      <c r="D24" s="2">
        <v>4400</v>
      </c>
      <c r="E24" s="2">
        <v>640</v>
      </c>
      <c r="F24" s="2"/>
      <c r="G24" s="2">
        <f t="shared" si="0"/>
        <v>3760</v>
      </c>
    </row>
    <row r="25" spans="3:7" x14ac:dyDescent="0.3">
      <c r="C25" s="1" t="s">
        <v>22</v>
      </c>
      <c r="D25" s="2">
        <f>SUM(D9:D12)*10%</f>
        <v>28883</v>
      </c>
      <c r="E25" s="2">
        <f>F2*30-E10</f>
        <v>0</v>
      </c>
      <c r="F25" s="2"/>
      <c r="G25" s="2">
        <f t="shared" si="0"/>
        <v>28883</v>
      </c>
    </row>
    <row r="26" spans="3:7" x14ac:dyDescent="0.3">
      <c r="C26" s="1" t="s">
        <v>130</v>
      </c>
      <c r="D26" s="2">
        <f>SUM(D9:D12)*10%</f>
        <v>28883</v>
      </c>
      <c r="E26" s="2">
        <v>0</v>
      </c>
      <c r="F26" s="2"/>
      <c r="G26" s="2">
        <f>D26-E26-F26</f>
        <v>28883</v>
      </c>
    </row>
    <row r="27" spans="3:7" x14ac:dyDescent="0.3">
      <c r="D27" s="2">
        <f>SUM(D9:D26)</f>
        <v>573877.97967213113</v>
      </c>
      <c r="E27" s="2">
        <f>SUM(E9:E26)</f>
        <v>141156.47967213116</v>
      </c>
      <c r="F27" s="2">
        <f>SUM(F9:F26)</f>
        <v>62965</v>
      </c>
      <c r="G27" s="2">
        <f>SUM(G9:G26)</f>
        <v>369756.5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109</v>
      </c>
      <c r="E40" s="1" t="s">
        <v>184</v>
      </c>
    </row>
    <row r="41" spans="2:7" x14ac:dyDescent="0.3">
      <c r="B41" s="1" t="s">
        <v>1</v>
      </c>
      <c r="C41" s="2">
        <f>+'Tab-2018'!I34</f>
        <v>700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((C41*366)+D49+D50+D51)/366</f>
        <v>860.17759562841525</v>
      </c>
    </row>
    <row r="43" spans="2:7" x14ac:dyDescent="0.3">
      <c r="B43" s="1" t="s">
        <v>2</v>
      </c>
      <c r="C43" s="1">
        <v>18</v>
      </c>
    </row>
    <row r="44" spans="2:7" x14ac:dyDescent="0.3">
      <c r="B44" s="1" t="s">
        <v>26</v>
      </c>
      <c r="C44" s="1">
        <v>7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238700</v>
      </c>
      <c r="E48" s="2"/>
      <c r="F48" s="2"/>
      <c r="G48" s="2">
        <f t="shared" ref="G48:G64" si="1">D48-E48-F48</f>
        <v>238700</v>
      </c>
    </row>
    <row r="49" spans="3:7" x14ac:dyDescent="0.3">
      <c r="C49" s="1" t="s">
        <v>9</v>
      </c>
      <c r="D49" s="2">
        <f>C41*30</f>
        <v>21000</v>
      </c>
      <c r="E49" s="2">
        <f>F41*30</f>
        <v>2191.2000000000003</v>
      </c>
      <c r="F49" s="2"/>
      <c r="G49" s="2">
        <f t="shared" si="1"/>
        <v>18808.8</v>
      </c>
    </row>
    <row r="50" spans="3:7" x14ac:dyDescent="0.3">
      <c r="C50" s="1" t="s">
        <v>10</v>
      </c>
      <c r="D50" s="2">
        <f>C41*15*0.25</f>
        <v>2625</v>
      </c>
      <c r="E50" s="2">
        <f>F41*15</f>
        <v>1095.6000000000001</v>
      </c>
      <c r="F50" s="2"/>
      <c r="G50" s="2">
        <f t="shared" si="1"/>
        <v>1529.3999999999999</v>
      </c>
    </row>
    <row r="51" spans="3:7" x14ac:dyDescent="0.3">
      <c r="C51" s="1" t="s">
        <v>11</v>
      </c>
      <c r="D51" s="2">
        <f>C41*50</f>
        <v>35000</v>
      </c>
      <c r="E51" s="2">
        <f>F41*50</f>
        <v>3652.0000000000005</v>
      </c>
      <c r="F51" s="2"/>
      <c r="G51" s="2">
        <f t="shared" si="1"/>
        <v>31348</v>
      </c>
    </row>
    <row r="52" spans="3:7" x14ac:dyDescent="0.3">
      <c r="C52" s="1" t="s">
        <v>12</v>
      </c>
      <c r="D52" s="2">
        <f>(C41/8)*270</f>
        <v>23625</v>
      </c>
      <c r="E52" s="2">
        <f>D52*50%</f>
        <v>11812.5</v>
      </c>
      <c r="F52" s="2"/>
      <c r="G52" s="2">
        <f t="shared" si="1"/>
        <v>11812.5</v>
      </c>
    </row>
    <row r="53" spans="3:7" x14ac:dyDescent="0.3">
      <c r="C53" s="1" t="s">
        <v>13</v>
      </c>
      <c r="D53" s="2">
        <v>2350</v>
      </c>
      <c r="E53" s="2">
        <f>F41*15</f>
        <v>1095.6000000000001</v>
      </c>
      <c r="F53" s="2"/>
      <c r="G53" s="2">
        <f t="shared" si="1"/>
        <v>1254.3999999999999</v>
      </c>
    </row>
    <row r="54" spans="3:7" x14ac:dyDescent="0.3">
      <c r="C54" s="1" t="s">
        <v>14</v>
      </c>
      <c r="D54" s="2">
        <f>SUM(D48:D51)*13%</f>
        <v>38652.25</v>
      </c>
      <c r="E54" s="2">
        <f>SUM(D48:D51)*13%</f>
        <v>38652.25</v>
      </c>
      <c r="F54" s="2"/>
      <c r="G54" s="2">
        <f t="shared" si="1"/>
        <v>0</v>
      </c>
    </row>
    <row r="55" spans="3:7" x14ac:dyDescent="0.3">
      <c r="C55" s="1" t="s">
        <v>101</v>
      </c>
      <c r="D55" s="2">
        <f>SUM(D48:D51)*5%</f>
        <v>14866.25</v>
      </c>
      <c r="E55" s="2"/>
      <c r="F55" s="2"/>
      <c r="G55" s="2">
        <f t="shared" si="1"/>
        <v>14866.25</v>
      </c>
    </row>
    <row r="56" spans="3:7" x14ac:dyDescent="0.3">
      <c r="C56" s="1" t="s">
        <v>15</v>
      </c>
      <c r="D56" s="2">
        <f>C41*60</f>
        <v>42000</v>
      </c>
      <c r="E56" s="2">
        <f>D56</f>
        <v>42000</v>
      </c>
      <c r="F56" s="2"/>
      <c r="G56" s="2">
        <f t="shared" si="1"/>
        <v>0</v>
      </c>
    </row>
    <row r="57" spans="3:7" x14ac:dyDescent="0.3">
      <c r="C57" s="1" t="s">
        <v>16</v>
      </c>
      <c r="D57" s="2">
        <f>F41*365*40%</f>
        <v>10663.840000000002</v>
      </c>
      <c r="E57" s="2">
        <f>D57</f>
        <v>10663.840000000002</v>
      </c>
      <c r="F57" s="2"/>
      <c r="G57" s="2">
        <f t="shared" si="1"/>
        <v>0</v>
      </c>
    </row>
    <row r="58" spans="3:7" x14ac:dyDescent="0.3">
      <c r="C58" s="1" t="s">
        <v>178</v>
      </c>
      <c r="D58" s="2">
        <f>C43*C42*40%</f>
        <v>6193.2786885245905</v>
      </c>
      <c r="E58" s="2">
        <f>D58</f>
        <v>6193.2786885245905</v>
      </c>
      <c r="F58" s="2"/>
      <c r="G58" s="2">
        <f t="shared" si="1"/>
        <v>0</v>
      </c>
    </row>
    <row r="59" spans="3:7" x14ac:dyDescent="0.3">
      <c r="C59" s="1" t="s">
        <v>179</v>
      </c>
      <c r="D59" s="2">
        <f>C42*C43*60%</f>
        <v>9289.9180327868853</v>
      </c>
      <c r="E59" s="2">
        <f>D59</f>
        <v>9289.9180327868853</v>
      </c>
      <c r="F59" s="2"/>
      <c r="G59" s="2">
        <f t="shared" si="1"/>
        <v>0</v>
      </c>
    </row>
    <row r="60" spans="3:7" x14ac:dyDescent="0.3">
      <c r="C60" s="1" t="s">
        <v>18</v>
      </c>
      <c r="D60" s="2">
        <f>SUM(D48:D51)*5.2%</f>
        <v>15460.900000000001</v>
      </c>
      <c r="E60" s="2">
        <f>D60</f>
        <v>15460.900000000001</v>
      </c>
      <c r="F60" s="2"/>
      <c r="G60" s="2">
        <f t="shared" si="1"/>
        <v>0</v>
      </c>
    </row>
    <row r="61" spans="3:7" x14ac:dyDescent="0.3">
      <c r="C61" s="1" t="s">
        <v>19</v>
      </c>
      <c r="D61" s="2">
        <f>C41*60</f>
        <v>42000</v>
      </c>
      <c r="E61" s="2"/>
      <c r="F61" s="2">
        <f>D61</f>
        <v>42000</v>
      </c>
      <c r="G61" s="2">
        <f t="shared" si="1"/>
        <v>0</v>
      </c>
    </row>
    <row r="62" spans="3:7" x14ac:dyDescent="0.3">
      <c r="C62" s="1" t="s">
        <v>20</v>
      </c>
      <c r="D62" s="2">
        <f>+F41*275</f>
        <v>20086</v>
      </c>
      <c r="E62" s="2"/>
      <c r="F62" s="2">
        <f>D62</f>
        <v>20086</v>
      </c>
      <c r="G62" s="2">
        <f t="shared" si="1"/>
        <v>0</v>
      </c>
    </row>
    <row r="63" spans="3:7" x14ac:dyDescent="0.3">
      <c r="C63" s="1" t="s">
        <v>21</v>
      </c>
      <c r="D63" s="2">
        <v>4400</v>
      </c>
      <c r="E63" s="2">
        <v>640</v>
      </c>
      <c r="F63" s="2"/>
      <c r="G63" s="2">
        <f t="shared" si="1"/>
        <v>3760</v>
      </c>
    </row>
    <row r="64" spans="3:7" x14ac:dyDescent="0.3">
      <c r="C64" s="1" t="s">
        <v>22</v>
      </c>
      <c r="D64" s="2">
        <f>SUM(D48:D51)*10%</f>
        <v>29732.5</v>
      </c>
      <c r="E64" s="2">
        <f>F41*30-E49</f>
        <v>0</v>
      </c>
      <c r="F64" s="2"/>
      <c r="G64" s="2">
        <f t="shared" si="1"/>
        <v>29732.5</v>
      </c>
    </row>
    <row r="65" spans="2:7" x14ac:dyDescent="0.3">
      <c r="C65" s="1" t="s">
        <v>130</v>
      </c>
      <c r="D65" s="2">
        <f>SUM(D48:D51)*10%</f>
        <v>29732.5</v>
      </c>
      <c r="E65" s="2">
        <v>0</v>
      </c>
      <c r="F65" s="2"/>
      <c r="G65" s="2">
        <f>D65-E65-F65</f>
        <v>29732.5</v>
      </c>
    </row>
    <row r="66" spans="2:7" x14ac:dyDescent="0.3">
      <c r="D66" s="2">
        <f>SUM(D48:D65)</f>
        <v>586377.43672131153</v>
      </c>
      <c r="E66" s="2">
        <f>SUM(E48:E65)</f>
        <v>142747.08672131147</v>
      </c>
      <c r="F66" s="2">
        <f>SUM(F48:F65)</f>
        <v>62086</v>
      </c>
      <c r="G66" s="2">
        <f>SUM(G48:G65)</f>
        <v>381544.35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109</v>
      </c>
      <c r="E80" s="1" t="s">
        <v>184</v>
      </c>
    </row>
    <row r="81" spans="2:7" x14ac:dyDescent="0.3">
      <c r="B81" s="1" t="s">
        <v>1</v>
      </c>
      <c r="C81" s="2">
        <f>+'Tab-2018'!I34</f>
        <v>700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((C81*366)+D89+D90+D91)/366</f>
        <v>860.17759562841525</v>
      </c>
    </row>
    <row r="83" spans="2:7" x14ac:dyDescent="0.3">
      <c r="B83" s="1" t="s">
        <v>2</v>
      </c>
      <c r="C83" s="1">
        <v>18</v>
      </c>
    </row>
    <row r="84" spans="2:7" x14ac:dyDescent="0.3">
      <c r="B84" s="1" t="s">
        <v>26</v>
      </c>
      <c r="C84" s="1">
        <v>7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238700</v>
      </c>
      <c r="E88" s="2"/>
      <c r="F88" s="2"/>
      <c r="G88" s="2">
        <f t="shared" ref="G88:G104" si="2">D88-E88-F88</f>
        <v>238700</v>
      </c>
    </row>
    <row r="89" spans="2:7" x14ac:dyDescent="0.3">
      <c r="C89" s="1" t="s">
        <v>9</v>
      </c>
      <c r="D89" s="2">
        <f>C81*30</f>
        <v>21000</v>
      </c>
      <c r="E89" s="2">
        <f>F81*30</f>
        <v>2418</v>
      </c>
      <c r="F89" s="2"/>
      <c r="G89" s="2">
        <f t="shared" si="2"/>
        <v>18582</v>
      </c>
    </row>
    <row r="90" spans="2:7" x14ac:dyDescent="0.3">
      <c r="C90" s="1" t="s">
        <v>10</v>
      </c>
      <c r="D90" s="2">
        <f>C81*15*0.25</f>
        <v>2625</v>
      </c>
      <c r="E90" s="2">
        <f>F81*15</f>
        <v>1209</v>
      </c>
      <c r="F90" s="2"/>
      <c r="G90" s="2">
        <f t="shared" si="2"/>
        <v>1416</v>
      </c>
    </row>
    <row r="91" spans="2:7" x14ac:dyDescent="0.3">
      <c r="C91" s="1" t="s">
        <v>11</v>
      </c>
      <c r="D91" s="2">
        <f>C81*50</f>
        <v>35000</v>
      </c>
      <c r="E91" s="2">
        <f>F81*50</f>
        <v>4029.9999999999995</v>
      </c>
      <c r="F91" s="2"/>
      <c r="G91" s="2">
        <f t="shared" si="2"/>
        <v>30970</v>
      </c>
    </row>
    <row r="92" spans="2:7" x14ac:dyDescent="0.3">
      <c r="C92" s="1" t="s">
        <v>12</v>
      </c>
      <c r="D92" s="2">
        <f>(C81/8)*270</f>
        <v>23625</v>
      </c>
      <c r="E92" s="2">
        <f>D92*50%</f>
        <v>11812.5</v>
      </c>
      <c r="F92" s="2"/>
      <c r="G92" s="2">
        <f t="shared" si="2"/>
        <v>11812.5</v>
      </c>
    </row>
    <row r="93" spans="2:7" x14ac:dyDescent="0.3">
      <c r="C93" s="1" t="s">
        <v>13</v>
      </c>
      <c r="D93" s="2">
        <v>2350</v>
      </c>
      <c r="E93" s="2">
        <f>F81*15</f>
        <v>1209</v>
      </c>
      <c r="F93" s="2"/>
      <c r="G93" s="2">
        <f t="shared" si="2"/>
        <v>1141</v>
      </c>
    </row>
    <row r="94" spans="2:7" x14ac:dyDescent="0.3">
      <c r="C94" s="1" t="s">
        <v>14</v>
      </c>
      <c r="D94" s="2">
        <f>SUM(D88:D91)*13%</f>
        <v>38652.25</v>
      </c>
      <c r="E94" s="2">
        <f>SUM(D88:D91)*13%</f>
        <v>38652.25</v>
      </c>
      <c r="F94" s="2"/>
      <c r="G94" s="2">
        <f t="shared" si="2"/>
        <v>0</v>
      </c>
    </row>
    <row r="95" spans="2:7" x14ac:dyDescent="0.3">
      <c r="C95" s="1" t="s">
        <v>101</v>
      </c>
      <c r="D95" s="2">
        <f>SUM(D88:D91)*5%</f>
        <v>14866.25</v>
      </c>
      <c r="E95" s="2"/>
      <c r="F95" s="2"/>
      <c r="G95" s="2">
        <f t="shared" si="2"/>
        <v>14866.25</v>
      </c>
    </row>
    <row r="96" spans="2:7" x14ac:dyDescent="0.3">
      <c r="C96" s="1" t="s">
        <v>15</v>
      </c>
      <c r="D96" s="2">
        <f>C81*60</f>
        <v>42000</v>
      </c>
      <c r="E96" s="2">
        <f>D96</f>
        <v>42000</v>
      </c>
      <c r="F96" s="2"/>
      <c r="G96" s="2">
        <f t="shared" si="2"/>
        <v>0</v>
      </c>
    </row>
    <row r="97" spans="3:7" x14ac:dyDescent="0.3">
      <c r="C97" s="1" t="s">
        <v>16</v>
      </c>
      <c r="D97" s="2">
        <f>F81*365*40%</f>
        <v>11767.599999999999</v>
      </c>
      <c r="E97" s="2">
        <f>D97</f>
        <v>11767.599999999999</v>
      </c>
      <c r="F97" s="2"/>
      <c r="G97" s="2">
        <f t="shared" si="2"/>
        <v>0</v>
      </c>
    </row>
    <row r="98" spans="3:7" x14ac:dyDescent="0.3">
      <c r="C98" s="1" t="s">
        <v>178</v>
      </c>
      <c r="D98" s="2">
        <f>C83*C82*40%</f>
        <v>6193.2786885245905</v>
      </c>
      <c r="E98" s="2">
        <f>D98</f>
        <v>6193.2786885245905</v>
      </c>
      <c r="F98" s="2"/>
      <c r="G98" s="2">
        <f t="shared" si="2"/>
        <v>0</v>
      </c>
    </row>
    <row r="99" spans="3:7" x14ac:dyDescent="0.3">
      <c r="C99" s="1" t="s">
        <v>179</v>
      </c>
      <c r="D99" s="2">
        <f>C82*C83*60%</f>
        <v>9289.9180327868853</v>
      </c>
      <c r="E99" s="2">
        <f>D99</f>
        <v>9289.9180327868853</v>
      </c>
      <c r="F99" s="2"/>
      <c r="G99" s="2">
        <f t="shared" si="2"/>
        <v>0</v>
      </c>
    </row>
    <row r="100" spans="3:7" x14ac:dyDescent="0.3">
      <c r="C100" s="1" t="s">
        <v>18</v>
      </c>
      <c r="D100" s="2">
        <f>SUM(D88:D91)*5.2%</f>
        <v>15460.900000000001</v>
      </c>
      <c r="E100" s="2">
        <f>D100</f>
        <v>15460.900000000001</v>
      </c>
      <c r="F100" s="2"/>
      <c r="G100" s="2">
        <f t="shared" si="2"/>
        <v>0</v>
      </c>
    </row>
    <row r="101" spans="3:7" x14ac:dyDescent="0.3">
      <c r="C101" s="1" t="s">
        <v>19</v>
      </c>
      <c r="D101" s="2">
        <f>C81*60</f>
        <v>42000</v>
      </c>
      <c r="E101" s="2"/>
      <c r="F101" s="2">
        <f>D101</f>
        <v>42000</v>
      </c>
      <c r="G101" s="2">
        <f t="shared" si="2"/>
        <v>0</v>
      </c>
    </row>
    <row r="102" spans="3:7" x14ac:dyDescent="0.3">
      <c r="C102" s="1" t="s">
        <v>20</v>
      </c>
      <c r="D102" s="2">
        <f>+F81*275</f>
        <v>22165</v>
      </c>
      <c r="E102" s="2"/>
      <c r="F102" s="2">
        <f>D102</f>
        <v>22165</v>
      </c>
      <c r="G102" s="2">
        <f t="shared" si="2"/>
        <v>0</v>
      </c>
    </row>
    <row r="103" spans="3:7" x14ac:dyDescent="0.3">
      <c r="C103" s="1" t="s">
        <v>21</v>
      </c>
      <c r="D103" s="2">
        <v>4400</v>
      </c>
      <c r="E103" s="2">
        <v>640</v>
      </c>
      <c r="F103" s="2"/>
      <c r="G103" s="2">
        <f t="shared" si="2"/>
        <v>3760</v>
      </c>
    </row>
    <row r="104" spans="3:7" x14ac:dyDescent="0.3">
      <c r="C104" s="1" t="s">
        <v>22</v>
      </c>
      <c r="D104" s="2">
        <f>SUM(D88:D91)*10%</f>
        <v>29732.5</v>
      </c>
      <c r="E104" s="2">
        <f>F81*30-E89</f>
        <v>0</v>
      </c>
      <c r="F104" s="2"/>
      <c r="G104" s="2">
        <f t="shared" si="2"/>
        <v>29732.5</v>
      </c>
    </row>
    <row r="105" spans="3:7" x14ac:dyDescent="0.3">
      <c r="C105" s="1" t="s">
        <v>130</v>
      </c>
      <c r="D105" s="2">
        <f>SUM(D88:D91)*10%</f>
        <v>29732.5</v>
      </c>
      <c r="E105" s="2">
        <v>0</v>
      </c>
      <c r="F105" s="2"/>
      <c r="G105" s="2">
        <f>D105-E105-F105</f>
        <v>29732.5</v>
      </c>
    </row>
    <row r="106" spans="3:7" x14ac:dyDescent="0.3">
      <c r="D106" s="2">
        <f>SUM(D88:D105)</f>
        <v>589560.19672131143</v>
      </c>
      <c r="E106" s="2">
        <f>SUM(E88:E105)</f>
        <v>144682.44672131148</v>
      </c>
      <c r="F106" s="2">
        <f>SUM(F88:F105)</f>
        <v>64165</v>
      </c>
      <c r="G106" s="2">
        <f>SUM(G88:G105)</f>
        <v>380712.75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G118"/>
  <sheetViews>
    <sheetView topLeftCell="A95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2.7109375" style="1" customWidth="1"/>
    <col min="6" max="6" width="11.42578125" style="1"/>
    <col min="7" max="7" width="12.42578125" style="1" customWidth="1"/>
    <col min="8" max="16384" width="11.42578125" style="1"/>
  </cols>
  <sheetData>
    <row r="1" spans="2:7" x14ac:dyDescent="0.3">
      <c r="B1" s="1" t="s">
        <v>0</v>
      </c>
      <c r="C1" s="1" t="s">
        <v>34</v>
      </c>
      <c r="E1" s="1" t="s">
        <v>184</v>
      </c>
    </row>
    <row r="2" spans="2:7" x14ac:dyDescent="0.3">
      <c r="B2" s="1" t="s">
        <v>1</v>
      </c>
      <c r="C2" s="2">
        <f>+'Tab-2018'!I35</f>
        <v>750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921.61885245901635</v>
      </c>
    </row>
    <row r="4" spans="2:7" x14ac:dyDescent="0.3">
      <c r="B4" s="1" t="s">
        <v>2</v>
      </c>
      <c r="C4" s="1">
        <v>8</v>
      </c>
    </row>
    <row r="5" spans="2:7" x14ac:dyDescent="0.3">
      <c r="B5" s="1" t="s">
        <v>26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263250</v>
      </c>
      <c r="E9" s="2"/>
      <c r="F9" s="2"/>
      <c r="G9" s="2">
        <f>D9-E9-F9</f>
        <v>263250</v>
      </c>
    </row>
    <row r="10" spans="2:7" x14ac:dyDescent="0.3">
      <c r="C10" s="1" t="s">
        <v>9</v>
      </c>
      <c r="D10" s="2">
        <f>C2*30</f>
        <v>22500</v>
      </c>
      <c r="E10" s="2">
        <f>F2*30</f>
        <v>2418</v>
      </c>
      <c r="F10" s="2"/>
      <c r="G10" s="2">
        <f t="shared" ref="G10:G25" si="0">D10-E10-F10</f>
        <v>20082</v>
      </c>
    </row>
    <row r="11" spans="2:7" x14ac:dyDescent="0.3">
      <c r="C11" s="1" t="s">
        <v>10</v>
      </c>
      <c r="D11" s="2">
        <f>C2*15*0.25</f>
        <v>2812.5</v>
      </c>
      <c r="E11" s="2">
        <f>+D11</f>
        <v>2812.5</v>
      </c>
      <c r="F11" s="2"/>
      <c r="G11" s="2">
        <f>D11-E11-F11</f>
        <v>0</v>
      </c>
    </row>
    <row r="12" spans="2:7" x14ac:dyDescent="0.3">
      <c r="C12" s="1" t="s">
        <v>11</v>
      </c>
      <c r="D12" s="2">
        <f>C2*50</f>
        <v>37500</v>
      </c>
      <c r="E12" s="2">
        <f>F2*50</f>
        <v>4029.9999999999995</v>
      </c>
      <c r="F12" s="2"/>
      <c r="G12" s="2">
        <f t="shared" si="0"/>
        <v>33470</v>
      </c>
    </row>
    <row r="13" spans="2:7" x14ac:dyDescent="0.3">
      <c r="C13" s="1" t="s">
        <v>12</v>
      </c>
      <c r="D13" s="2">
        <f>(C2/8)*270</f>
        <v>25312.5</v>
      </c>
      <c r="E13" s="2">
        <f>D13*50%</f>
        <v>12656.25</v>
      </c>
      <c r="F13" s="2"/>
      <c r="G13" s="2">
        <f t="shared" si="0"/>
        <v>12656.25</v>
      </c>
    </row>
    <row r="14" spans="2:7" x14ac:dyDescent="0.3">
      <c r="C14" s="1" t="s">
        <v>13</v>
      </c>
      <c r="D14" s="2">
        <v>2345</v>
      </c>
      <c r="E14" s="2">
        <f>F2*15</f>
        <v>1209</v>
      </c>
      <c r="F14" s="2"/>
      <c r="G14" s="2">
        <f t="shared" si="0"/>
        <v>1136</v>
      </c>
    </row>
    <row r="15" spans="2:7" x14ac:dyDescent="0.3">
      <c r="C15" s="1" t="s">
        <v>14</v>
      </c>
      <c r="D15" s="2">
        <f>SUM(D9:D12)*13%</f>
        <v>42388.125</v>
      </c>
      <c r="E15" s="2">
        <f>SUM(D9:D12)*13%</f>
        <v>42388.125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16303.125</v>
      </c>
      <c r="E16" s="2"/>
      <c r="F16" s="2"/>
      <c r="G16" s="2">
        <f t="shared" si="0"/>
        <v>16303.125</v>
      </c>
    </row>
    <row r="17" spans="3:7" x14ac:dyDescent="0.3">
      <c r="C17" s="1" t="s">
        <v>15</v>
      </c>
      <c r="D17" s="2">
        <f>C2*60</f>
        <v>45000</v>
      </c>
      <c r="E17" s="2">
        <f>D17</f>
        <v>45000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F2*365*40%</f>
        <v>11767.599999999999</v>
      </c>
      <c r="E18" s="2">
        <f>D18</f>
        <v>11767.599999999999</v>
      </c>
      <c r="F18" s="2"/>
      <c r="G18" s="2">
        <f t="shared" si="0"/>
        <v>0</v>
      </c>
    </row>
    <row r="19" spans="3:7" x14ac:dyDescent="0.3">
      <c r="C19" s="1" t="s">
        <v>178</v>
      </c>
      <c r="D19" s="2">
        <f>C4*C3*40%</f>
        <v>2949.1803278688526</v>
      </c>
      <c r="E19" s="2">
        <f>D19</f>
        <v>2949.1803278688526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C3*C4*60%</f>
        <v>4423.7704918032787</v>
      </c>
      <c r="E20" s="2">
        <f>D20</f>
        <v>4423.7704918032787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16955.25</v>
      </c>
      <c r="E21" s="2">
        <f>D21</f>
        <v>16955.25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45000</v>
      </c>
      <c r="E22" s="2"/>
      <c r="F22" s="2">
        <f>D22</f>
        <v>45000</v>
      </c>
      <c r="G22" s="2">
        <f t="shared" si="0"/>
        <v>0</v>
      </c>
    </row>
    <row r="23" spans="3:7" x14ac:dyDescent="0.3">
      <c r="C23" s="1" t="s">
        <v>20</v>
      </c>
      <c r="D23" s="2">
        <f>+F2*275</f>
        <v>22165</v>
      </c>
      <c r="E23" s="2"/>
      <c r="F23" s="2">
        <f>D23</f>
        <v>22165</v>
      </c>
      <c r="G23" s="2">
        <f t="shared" si="0"/>
        <v>0</v>
      </c>
    </row>
    <row r="24" spans="3:7" x14ac:dyDescent="0.3">
      <c r="C24" s="1" t="s">
        <v>21</v>
      </c>
      <c r="D24" s="2">
        <v>5245</v>
      </c>
      <c r="E24" s="2">
        <v>640</v>
      </c>
      <c r="F24" s="2"/>
      <c r="G24" s="2">
        <f t="shared" si="0"/>
        <v>4605</v>
      </c>
    </row>
    <row r="25" spans="3:7" x14ac:dyDescent="0.3">
      <c r="C25" s="1" t="s">
        <v>22</v>
      </c>
      <c r="D25" s="2">
        <f>SUM(D9:D12)*10%</f>
        <v>32606.25</v>
      </c>
      <c r="E25" s="2">
        <f>F2*30-E10</f>
        <v>0</v>
      </c>
      <c r="F25" s="2"/>
      <c r="G25" s="2">
        <f t="shared" si="0"/>
        <v>32606.25</v>
      </c>
    </row>
    <row r="26" spans="3:7" x14ac:dyDescent="0.3">
      <c r="C26" s="1" t="s">
        <v>130</v>
      </c>
      <c r="D26" s="2">
        <f>SUM(D9:D12)*10%</f>
        <v>32606.25</v>
      </c>
      <c r="E26" s="2">
        <v>0</v>
      </c>
      <c r="F26" s="2"/>
      <c r="G26" s="2">
        <f>D26-E26-F26</f>
        <v>32606.25</v>
      </c>
    </row>
    <row r="27" spans="3:7" x14ac:dyDescent="0.3">
      <c r="D27" s="2">
        <f>SUM(D9:D26)</f>
        <v>631129.55081967218</v>
      </c>
      <c r="E27" s="2">
        <f>SUM(E9:E26)</f>
        <v>147249.67581967212</v>
      </c>
      <c r="F27" s="2">
        <f>SUM(F9:F26)</f>
        <v>67165</v>
      </c>
      <c r="G27" s="2">
        <f>SUM(G9:G26)</f>
        <v>416714.875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34</v>
      </c>
      <c r="E40" s="1" t="s">
        <v>184</v>
      </c>
    </row>
    <row r="41" spans="2:7" x14ac:dyDescent="0.3">
      <c r="B41" s="1" t="s">
        <v>1</v>
      </c>
      <c r="C41" s="2">
        <f>+'Tab-2018'!I36</f>
        <v>800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((C41*366)+D49+D50+D51)/366</f>
        <v>983.06010928961746</v>
      </c>
    </row>
    <row r="43" spans="2:7" x14ac:dyDescent="0.3">
      <c r="B43" s="1" t="s">
        <v>2</v>
      </c>
      <c r="C43" s="1">
        <v>8</v>
      </c>
    </row>
    <row r="44" spans="2:7" x14ac:dyDescent="0.3">
      <c r="B44" s="1" t="s">
        <v>26</v>
      </c>
      <c r="C44" s="1">
        <v>7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280800</v>
      </c>
      <c r="E48" s="2"/>
      <c r="F48" s="2"/>
      <c r="G48" s="2">
        <f>D48-E48-F48</f>
        <v>280800</v>
      </c>
    </row>
    <row r="49" spans="3:7" x14ac:dyDescent="0.3">
      <c r="C49" s="1" t="s">
        <v>9</v>
      </c>
      <c r="D49" s="2">
        <f>C41*30</f>
        <v>24000</v>
      </c>
      <c r="E49" s="2">
        <f>F41*30</f>
        <v>2191.2000000000003</v>
      </c>
      <c r="F49" s="2"/>
      <c r="G49" s="2">
        <f t="shared" ref="G49" si="1">D49-E49-F49</f>
        <v>21808.799999999999</v>
      </c>
    </row>
    <row r="50" spans="3:7" x14ac:dyDescent="0.3">
      <c r="C50" s="1" t="s">
        <v>10</v>
      </c>
      <c r="D50" s="2">
        <f>C41*15*0.25</f>
        <v>3000</v>
      </c>
      <c r="E50" s="2">
        <f>+D50</f>
        <v>3000</v>
      </c>
      <c r="F50" s="2"/>
      <c r="G50" s="2">
        <f>D50-E50-F50</f>
        <v>0</v>
      </c>
    </row>
    <row r="51" spans="3:7" x14ac:dyDescent="0.3">
      <c r="C51" s="1" t="s">
        <v>11</v>
      </c>
      <c r="D51" s="2">
        <f>C41*50</f>
        <v>40000</v>
      </c>
      <c r="E51" s="2">
        <f>F41*50</f>
        <v>3652.0000000000005</v>
      </c>
      <c r="F51" s="2"/>
      <c r="G51" s="2">
        <f t="shared" ref="G51:G64" si="2">D51-E51-F51</f>
        <v>36348</v>
      </c>
    </row>
    <row r="52" spans="3:7" x14ac:dyDescent="0.3">
      <c r="C52" s="1" t="s">
        <v>12</v>
      </c>
      <c r="D52" s="2">
        <f>(C41/8)*270</f>
        <v>27000</v>
      </c>
      <c r="E52" s="2">
        <f>D52*50%</f>
        <v>13500</v>
      </c>
      <c r="F52" s="2"/>
      <c r="G52" s="2">
        <f t="shared" si="2"/>
        <v>13500</v>
      </c>
    </row>
    <row r="53" spans="3:7" x14ac:dyDescent="0.3">
      <c r="C53" s="1" t="s">
        <v>13</v>
      </c>
      <c r="D53" s="2">
        <v>2345</v>
      </c>
      <c r="E53" s="2">
        <f>F41*15</f>
        <v>1095.6000000000001</v>
      </c>
      <c r="F53" s="2"/>
      <c r="G53" s="2">
        <f t="shared" si="2"/>
        <v>1249.3999999999999</v>
      </c>
    </row>
    <row r="54" spans="3:7" x14ac:dyDescent="0.3">
      <c r="C54" s="1" t="s">
        <v>14</v>
      </c>
      <c r="D54" s="2">
        <f>SUM(D48:D51)*13%</f>
        <v>45214</v>
      </c>
      <c r="E54" s="2">
        <f>SUM(D48:D51)*13%</f>
        <v>45214</v>
      </c>
      <c r="F54" s="2"/>
      <c r="G54" s="2">
        <f t="shared" si="2"/>
        <v>0</v>
      </c>
    </row>
    <row r="55" spans="3:7" x14ac:dyDescent="0.3">
      <c r="C55" s="1" t="s">
        <v>101</v>
      </c>
      <c r="D55" s="2">
        <f>SUM(D48:D51)*5%</f>
        <v>17390</v>
      </c>
      <c r="E55" s="2"/>
      <c r="F55" s="2"/>
      <c r="G55" s="2">
        <f t="shared" si="2"/>
        <v>17390</v>
      </c>
    </row>
    <row r="56" spans="3:7" x14ac:dyDescent="0.3">
      <c r="C56" s="1" t="s">
        <v>15</v>
      </c>
      <c r="D56" s="2">
        <f>C41*60</f>
        <v>48000</v>
      </c>
      <c r="E56" s="2">
        <f>D56</f>
        <v>48000</v>
      </c>
      <c r="F56" s="2"/>
      <c r="G56" s="2">
        <f t="shared" si="2"/>
        <v>0</v>
      </c>
    </row>
    <row r="57" spans="3:7" x14ac:dyDescent="0.3">
      <c r="C57" s="1" t="s">
        <v>16</v>
      </c>
      <c r="D57" s="2">
        <f>F41*365*40%</f>
        <v>10663.840000000002</v>
      </c>
      <c r="E57" s="2">
        <f>D57</f>
        <v>10663.840000000002</v>
      </c>
      <c r="F57" s="2"/>
      <c r="G57" s="2">
        <f t="shared" si="2"/>
        <v>0</v>
      </c>
    </row>
    <row r="58" spans="3:7" x14ac:dyDescent="0.3">
      <c r="C58" s="1" t="s">
        <v>178</v>
      </c>
      <c r="D58" s="2">
        <f>C43*C42*40%</f>
        <v>3145.7923497267761</v>
      </c>
      <c r="E58" s="2">
        <f>D58</f>
        <v>3145.7923497267761</v>
      </c>
      <c r="F58" s="2"/>
      <c r="G58" s="2">
        <f t="shared" si="2"/>
        <v>0</v>
      </c>
    </row>
    <row r="59" spans="3:7" x14ac:dyDescent="0.3">
      <c r="C59" s="1" t="s">
        <v>179</v>
      </c>
      <c r="D59" s="2">
        <f>C42*C43*60%</f>
        <v>4718.688524590164</v>
      </c>
      <c r="E59" s="2">
        <f>D59</f>
        <v>4718.688524590164</v>
      </c>
      <c r="F59" s="2"/>
      <c r="G59" s="2">
        <f t="shared" si="2"/>
        <v>0</v>
      </c>
    </row>
    <row r="60" spans="3:7" x14ac:dyDescent="0.3">
      <c r="C60" s="1" t="s">
        <v>18</v>
      </c>
      <c r="D60" s="2">
        <f>SUM(D48:D51)*5.2%</f>
        <v>18085.600000000002</v>
      </c>
      <c r="E60" s="2">
        <f>D60</f>
        <v>18085.600000000002</v>
      </c>
      <c r="F60" s="2"/>
      <c r="G60" s="2">
        <f t="shared" si="2"/>
        <v>0</v>
      </c>
    </row>
    <row r="61" spans="3:7" x14ac:dyDescent="0.3">
      <c r="C61" s="1" t="s">
        <v>19</v>
      </c>
      <c r="D61" s="2">
        <f>C41*60</f>
        <v>48000</v>
      </c>
      <c r="E61" s="2"/>
      <c r="F61" s="2">
        <f>D61</f>
        <v>48000</v>
      </c>
      <c r="G61" s="2">
        <f t="shared" si="2"/>
        <v>0</v>
      </c>
    </row>
    <row r="62" spans="3:7" x14ac:dyDescent="0.3">
      <c r="C62" s="1" t="s">
        <v>20</v>
      </c>
      <c r="D62" s="2">
        <f>+F41*275</f>
        <v>20086</v>
      </c>
      <c r="E62" s="2"/>
      <c r="F62" s="2">
        <f>D62</f>
        <v>20086</v>
      </c>
      <c r="G62" s="2">
        <f t="shared" si="2"/>
        <v>0</v>
      </c>
    </row>
    <row r="63" spans="3:7" x14ac:dyDescent="0.3">
      <c r="C63" s="1" t="s">
        <v>21</v>
      </c>
      <c r="D63" s="2">
        <v>5245</v>
      </c>
      <c r="E63" s="2">
        <v>640</v>
      </c>
      <c r="F63" s="2"/>
      <c r="G63" s="2">
        <f t="shared" si="2"/>
        <v>4605</v>
      </c>
    </row>
    <row r="64" spans="3:7" x14ac:dyDescent="0.3">
      <c r="C64" s="1" t="s">
        <v>22</v>
      </c>
      <c r="D64" s="2">
        <f>SUM(D48:D51)*10%</f>
        <v>34780</v>
      </c>
      <c r="E64" s="2">
        <f>F41*30-E49</f>
        <v>0</v>
      </c>
      <c r="F64" s="2"/>
      <c r="G64" s="2">
        <f t="shared" si="2"/>
        <v>34780</v>
      </c>
    </row>
    <row r="65" spans="2:7" x14ac:dyDescent="0.3">
      <c r="C65" s="1" t="s">
        <v>130</v>
      </c>
      <c r="D65" s="2">
        <f>SUM(D48:D51)*10%</f>
        <v>34780</v>
      </c>
      <c r="E65" s="2">
        <v>0</v>
      </c>
      <c r="F65" s="2"/>
      <c r="G65" s="2">
        <f>D65-E65-F65</f>
        <v>34780</v>
      </c>
    </row>
    <row r="66" spans="2:7" x14ac:dyDescent="0.3">
      <c r="D66" s="2">
        <f>SUM(D48:D65)</f>
        <v>667253.92087431694</v>
      </c>
      <c r="E66" s="2">
        <f>SUM(E48:E65)</f>
        <v>153906.72087431693</v>
      </c>
      <c r="F66" s="2">
        <f>SUM(F48:F65)</f>
        <v>68086</v>
      </c>
      <c r="G66" s="2">
        <f>SUM(G48:G65)</f>
        <v>445261.2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34</v>
      </c>
      <c r="E80" s="1" t="s">
        <v>184</v>
      </c>
    </row>
    <row r="81" spans="2:7" x14ac:dyDescent="0.3">
      <c r="B81" s="1" t="s">
        <v>1</v>
      </c>
      <c r="C81" s="2">
        <f>+'Tab-2018'!I37</f>
        <v>850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((C81*366)+D89+D90+D91)/366</f>
        <v>1044.5013661202186</v>
      </c>
    </row>
    <row r="83" spans="2:7" x14ac:dyDescent="0.3">
      <c r="B83" s="1" t="s">
        <v>2</v>
      </c>
      <c r="C83" s="1">
        <v>8</v>
      </c>
    </row>
    <row r="84" spans="2:7" x14ac:dyDescent="0.3">
      <c r="B84" s="1" t="s">
        <v>26</v>
      </c>
      <c r="C84" s="1">
        <v>7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298350</v>
      </c>
      <c r="E88" s="2"/>
      <c r="F88" s="2"/>
      <c r="G88" s="2">
        <f>D88-E88-F88</f>
        <v>298350</v>
      </c>
    </row>
    <row r="89" spans="2:7" x14ac:dyDescent="0.3">
      <c r="C89" s="1" t="s">
        <v>9</v>
      </c>
      <c r="D89" s="2">
        <f>C81*30</f>
        <v>25500</v>
      </c>
      <c r="E89" s="2">
        <f>F81*30</f>
        <v>2418</v>
      </c>
      <c r="F89" s="2"/>
      <c r="G89" s="2">
        <f t="shared" ref="G89" si="3">D89-E89-F89</f>
        <v>23082</v>
      </c>
    </row>
    <row r="90" spans="2:7" x14ac:dyDescent="0.3">
      <c r="C90" s="1" t="s">
        <v>10</v>
      </c>
      <c r="D90" s="2">
        <f>C81*15*0.25</f>
        <v>3187.5</v>
      </c>
      <c r="E90" s="2">
        <f>+D90</f>
        <v>3187.5</v>
      </c>
      <c r="F90" s="2"/>
      <c r="G90" s="2">
        <f>D90-E90-F90</f>
        <v>0</v>
      </c>
    </row>
    <row r="91" spans="2:7" x14ac:dyDescent="0.3">
      <c r="C91" s="1" t="s">
        <v>11</v>
      </c>
      <c r="D91" s="2">
        <f>C81*50</f>
        <v>42500</v>
      </c>
      <c r="E91" s="2">
        <f>F81*50</f>
        <v>4029.9999999999995</v>
      </c>
      <c r="F91" s="2"/>
      <c r="G91" s="2">
        <f t="shared" ref="G91:G104" si="4">D91-E91-F91</f>
        <v>38470</v>
      </c>
    </row>
    <row r="92" spans="2:7" x14ac:dyDescent="0.3">
      <c r="C92" s="1" t="s">
        <v>12</v>
      </c>
      <c r="D92" s="2">
        <f>(C81/8)*270</f>
        <v>28687.5</v>
      </c>
      <c r="E92" s="2">
        <f>D92*50%</f>
        <v>14343.75</v>
      </c>
      <c r="F92" s="2"/>
      <c r="G92" s="2">
        <f t="shared" si="4"/>
        <v>14343.75</v>
      </c>
    </row>
    <row r="93" spans="2:7" x14ac:dyDescent="0.3">
      <c r="C93" s="1" t="s">
        <v>13</v>
      </c>
      <c r="D93" s="2">
        <v>2345</v>
      </c>
      <c r="E93" s="2">
        <f>F81*15</f>
        <v>1209</v>
      </c>
      <c r="F93" s="2"/>
      <c r="G93" s="2">
        <f t="shared" si="4"/>
        <v>1136</v>
      </c>
    </row>
    <row r="94" spans="2:7" x14ac:dyDescent="0.3">
      <c r="C94" s="1" t="s">
        <v>14</v>
      </c>
      <c r="D94" s="2">
        <f>SUM(D88:D91)*13%</f>
        <v>48039.875</v>
      </c>
      <c r="E94" s="2">
        <f>SUM(D88:D91)*13%</f>
        <v>48039.875</v>
      </c>
      <c r="F94" s="2"/>
      <c r="G94" s="2">
        <f t="shared" si="4"/>
        <v>0</v>
      </c>
    </row>
    <row r="95" spans="2:7" x14ac:dyDescent="0.3">
      <c r="C95" s="1" t="s">
        <v>101</v>
      </c>
      <c r="D95" s="2">
        <f>SUM(D88:D91)*5%</f>
        <v>18476.875</v>
      </c>
      <c r="E95" s="2"/>
      <c r="F95" s="2"/>
      <c r="G95" s="2">
        <f t="shared" si="4"/>
        <v>18476.875</v>
      </c>
    </row>
    <row r="96" spans="2:7" x14ac:dyDescent="0.3">
      <c r="C96" s="1" t="s">
        <v>15</v>
      </c>
      <c r="D96" s="2">
        <f>C81*60</f>
        <v>51000</v>
      </c>
      <c r="E96" s="2">
        <f>D96</f>
        <v>51000</v>
      </c>
      <c r="F96" s="2"/>
      <c r="G96" s="2">
        <f t="shared" si="4"/>
        <v>0</v>
      </c>
    </row>
    <row r="97" spans="3:7" x14ac:dyDescent="0.3">
      <c r="C97" s="1" t="s">
        <v>16</v>
      </c>
      <c r="D97" s="2">
        <f>F81*365*40%</f>
        <v>11767.599999999999</v>
      </c>
      <c r="E97" s="2">
        <f>D97</f>
        <v>11767.599999999999</v>
      </c>
      <c r="F97" s="2"/>
      <c r="G97" s="2">
        <f t="shared" si="4"/>
        <v>0</v>
      </c>
    </row>
    <row r="98" spans="3:7" x14ac:dyDescent="0.3">
      <c r="C98" s="1" t="s">
        <v>178</v>
      </c>
      <c r="D98" s="2">
        <f>C83*C82*40%</f>
        <v>3342.4043715846997</v>
      </c>
      <c r="E98" s="2">
        <f>D98</f>
        <v>3342.4043715846997</v>
      </c>
      <c r="F98" s="2"/>
      <c r="G98" s="2">
        <f t="shared" si="4"/>
        <v>0</v>
      </c>
    </row>
    <row r="99" spans="3:7" x14ac:dyDescent="0.3">
      <c r="C99" s="1" t="s">
        <v>179</v>
      </c>
      <c r="D99" s="2">
        <f>C82*C83*60%</f>
        <v>5013.6065573770493</v>
      </c>
      <c r="E99" s="2">
        <f>D99</f>
        <v>5013.6065573770493</v>
      </c>
      <c r="F99" s="2"/>
      <c r="G99" s="2">
        <f t="shared" si="4"/>
        <v>0</v>
      </c>
    </row>
    <row r="100" spans="3:7" x14ac:dyDescent="0.3">
      <c r="C100" s="1" t="s">
        <v>18</v>
      </c>
      <c r="D100" s="2">
        <f>SUM(D88:D91)*5.2%</f>
        <v>19215.95</v>
      </c>
      <c r="E100" s="2">
        <f>D100</f>
        <v>19215.95</v>
      </c>
      <c r="F100" s="2"/>
      <c r="G100" s="2">
        <f t="shared" si="4"/>
        <v>0</v>
      </c>
    </row>
    <row r="101" spans="3:7" x14ac:dyDescent="0.3">
      <c r="C101" s="1" t="s">
        <v>19</v>
      </c>
      <c r="D101" s="2">
        <f>C81*60</f>
        <v>51000</v>
      </c>
      <c r="E101" s="2"/>
      <c r="F101" s="2">
        <f>D101</f>
        <v>51000</v>
      </c>
      <c r="G101" s="2">
        <f t="shared" si="4"/>
        <v>0</v>
      </c>
    </row>
    <row r="102" spans="3:7" x14ac:dyDescent="0.3">
      <c r="C102" s="1" t="s">
        <v>20</v>
      </c>
      <c r="D102" s="2">
        <f>+F81*275</f>
        <v>22165</v>
      </c>
      <c r="E102" s="2"/>
      <c r="F102" s="2">
        <f>D102</f>
        <v>22165</v>
      </c>
      <c r="G102" s="2">
        <f t="shared" si="4"/>
        <v>0</v>
      </c>
    </row>
    <row r="103" spans="3:7" x14ac:dyDescent="0.3">
      <c r="C103" s="1" t="s">
        <v>21</v>
      </c>
      <c r="D103" s="2">
        <v>5245</v>
      </c>
      <c r="E103" s="2">
        <v>640</v>
      </c>
      <c r="F103" s="2"/>
      <c r="G103" s="2">
        <f t="shared" si="4"/>
        <v>4605</v>
      </c>
    </row>
    <row r="104" spans="3:7" x14ac:dyDescent="0.3">
      <c r="C104" s="1" t="s">
        <v>22</v>
      </c>
      <c r="D104" s="2">
        <f>SUM(D88:D91)*10%</f>
        <v>36953.75</v>
      </c>
      <c r="E104" s="2">
        <f>F81*30-E89</f>
        <v>0</v>
      </c>
      <c r="F104" s="2"/>
      <c r="G104" s="2">
        <f t="shared" si="4"/>
        <v>36953.75</v>
      </c>
    </row>
    <row r="105" spans="3:7" x14ac:dyDescent="0.3">
      <c r="C105" s="1" t="s">
        <v>130</v>
      </c>
      <c r="D105" s="2">
        <f>SUM(D88:D91)*10%</f>
        <v>36953.75</v>
      </c>
      <c r="E105" s="2">
        <v>0</v>
      </c>
      <c r="F105" s="2"/>
      <c r="G105" s="2">
        <f>D105-E105-F105</f>
        <v>36953.75</v>
      </c>
    </row>
    <row r="106" spans="3:7" x14ac:dyDescent="0.3">
      <c r="D106" s="2">
        <f>SUM(D88:D105)</f>
        <v>709743.81092896161</v>
      </c>
      <c r="E106" s="2">
        <f>SUM(E88:E105)</f>
        <v>164207.68592896179</v>
      </c>
      <c r="F106" s="2">
        <f>SUM(F88:F105)</f>
        <v>73165</v>
      </c>
      <c r="G106" s="2">
        <f>SUM(G88:G105)</f>
        <v>472371.125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G118"/>
  <sheetViews>
    <sheetView topLeftCell="A93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5" style="1" bestFit="1" customWidth="1"/>
    <col min="5" max="5" width="12.42578125" style="1" customWidth="1"/>
    <col min="6" max="6" width="11.42578125" style="1"/>
    <col min="7" max="7" width="12.28515625" style="1" bestFit="1" customWidth="1"/>
    <col min="8" max="16384" width="11.42578125" style="1"/>
  </cols>
  <sheetData>
    <row r="1" spans="2:7" x14ac:dyDescent="0.3">
      <c r="B1" s="1" t="s">
        <v>0</v>
      </c>
      <c r="C1" s="1" t="s">
        <v>35</v>
      </c>
      <c r="E1" s="1" t="s">
        <v>184</v>
      </c>
    </row>
    <row r="2" spans="2:7" x14ac:dyDescent="0.3">
      <c r="B2" s="1" t="s">
        <v>1</v>
      </c>
      <c r="C2" s="2">
        <f>+'Tab-2018'!I38</f>
        <v>900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1105.9426229508197</v>
      </c>
    </row>
    <row r="4" spans="2:7" x14ac:dyDescent="0.3">
      <c r="B4" s="1" t="s">
        <v>2</v>
      </c>
      <c r="C4" s="1">
        <v>8</v>
      </c>
    </row>
    <row r="5" spans="2:7" x14ac:dyDescent="0.3">
      <c r="B5" s="1" t="s">
        <v>26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315900</v>
      </c>
      <c r="E9" s="2"/>
      <c r="F9" s="2"/>
      <c r="G9" s="2">
        <f>D9-E9-F9</f>
        <v>315900</v>
      </c>
    </row>
    <row r="10" spans="2:7" x14ac:dyDescent="0.3">
      <c r="C10" s="1" t="s">
        <v>9</v>
      </c>
      <c r="D10" s="2">
        <f>C2*30</f>
        <v>27000</v>
      </c>
      <c r="E10" s="2">
        <f>F2*30</f>
        <v>2418</v>
      </c>
      <c r="F10" s="2"/>
      <c r="G10" s="2">
        <f t="shared" ref="G10:G25" si="0">D10-E10-F10</f>
        <v>24582</v>
      </c>
    </row>
    <row r="11" spans="2:7" x14ac:dyDescent="0.3">
      <c r="C11" s="1" t="s">
        <v>10</v>
      </c>
      <c r="D11" s="2">
        <f>C2*15*0.25</f>
        <v>3375</v>
      </c>
      <c r="E11" s="2">
        <f>+F2*15</f>
        <v>1209</v>
      </c>
      <c r="F11" s="2"/>
      <c r="G11" s="2">
        <f>D11-E11-F11</f>
        <v>2166</v>
      </c>
    </row>
    <row r="12" spans="2:7" x14ac:dyDescent="0.3">
      <c r="C12" s="1" t="s">
        <v>11</v>
      </c>
      <c r="D12" s="2">
        <f>C2*50</f>
        <v>45000</v>
      </c>
      <c r="E12" s="2">
        <f>F2*50</f>
        <v>4029.9999999999995</v>
      </c>
      <c r="F12" s="2"/>
      <c r="G12" s="2">
        <f t="shared" si="0"/>
        <v>40970</v>
      </c>
    </row>
    <row r="13" spans="2:7" x14ac:dyDescent="0.3">
      <c r="C13" s="1" t="s">
        <v>12</v>
      </c>
      <c r="D13" s="2">
        <f>(C2/8)*270</f>
        <v>30375</v>
      </c>
      <c r="E13" s="2">
        <f>D13*50%</f>
        <v>15187.5</v>
      </c>
      <c r="F13" s="2"/>
      <c r="G13" s="2">
        <f t="shared" si="0"/>
        <v>15187.5</v>
      </c>
    </row>
    <row r="14" spans="2:7" x14ac:dyDescent="0.3">
      <c r="C14" s="1" t="s">
        <v>13</v>
      </c>
      <c r="D14" s="2">
        <v>2450</v>
      </c>
      <c r="E14" s="2">
        <f>F2*15</f>
        <v>1209</v>
      </c>
      <c r="F14" s="2"/>
      <c r="G14" s="2">
        <f t="shared" si="0"/>
        <v>1241</v>
      </c>
    </row>
    <row r="15" spans="2:7" x14ac:dyDescent="0.3">
      <c r="C15" s="1" t="s">
        <v>14</v>
      </c>
      <c r="D15" s="2">
        <f>SUM(D9:D12)*13%</f>
        <v>50865.75</v>
      </c>
      <c r="E15" s="2">
        <f>SUM(D9:D12)*13%</f>
        <v>50865.75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19563.75</v>
      </c>
      <c r="E16" s="2"/>
      <c r="F16" s="2"/>
      <c r="G16" s="2">
        <f t="shared" si="0"/>
        <v>19563.75</v>
      </c>
    </row>
    <row r="17" spans="3:7" x14ac:dyDescent="0.3">
      <c r="C17" s="1" t="s">
        <v>15</v>
      </c>
      <c r="D17" s="2">
        <v>18000</v>
      </c>
      <c r="E17" s="2">
        <f>+D17</f>
        <v>18000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F2*365*40%</f>
        <v>11767.599999999999</v>
      </c>
      <c r="E18" s="2">
        <f>+F2*365-E17</f>
        <v>11418.999999999996</v>
      </c>
      <c r="F18" s="2"/>
      <c r="G18" s="2">
        <f t="shared" si="0"/>
        <v>348.60000000000218</v>
      </c>
    </row>
    <row r="19" spans="3:7" x14ac:dyDescent="0.3">
      <c r="C19" s="1" t="s">
        <v>178</v>
      </c>
      <c r="D19" s="2">
        <f>C4*C3*40%</f>
        <v>3539.0163934426232</v>
      </c>
      <c r="E19" s="2">
        <f>D19</f>
        <v>3539.0163934426232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C3*C4*60%</f>
        <v>5308.5245901639346</v>
      </c>
      <c r="E20" s="2">
        <f>D20</f>
        <v>5308.5245901639346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20346.300000000003</v>
      </c>
      <c r="E21" s="2">
        <f>D21</f>
        <v>20346.300000000003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54000</v>
      </c>
      <c r="E22" s="2"/>
      <c r="F22" s="2">
        <f>D22</f>
        <v>54000</v>
      </c>
      <c r="G22" s="2">
        <f t="shared" si="0"/>
        <v>0</v>
      </c>
    </row>
    <row r="23" spans="3:7" x14ac:dyDescent="0.3">
      <c r="C23" s="1" t="s">
        <v>20</v>
      </c>
      <c r="D23" s="2">
        <f>+F2*275</f>
        <v>22165</v>
      </c>
      <c r="E23" s="2"/>
      <c r="F23" s="2">
        <f>D23</f>
        <v>22165</v>
      </c>
      <c r="G23" s="2">
        <f t="shared" si="0"/>
        <v>0</v>
      </c>
    </row>
    <row r="24" spans="3:7" x14ac:dyDescent="0.3">
      <c r="C24" s="1" t="s">
        <v>21</v>
      </c>
      <c r="D24" s="2">
        <v>2800</v>
      </c>
      <c r="E24" s="2">
        <v>640</v>
      </c>
      <c r="F24" s="2"/>
      <c r="G24" s="2">
        <f t="shared" si="0"/>
        <v>2160</v>
      </c>
    </row>
    <row r="25" spans="3:7" x14ac:dyDescent="0.3">
      <c r="C25" s="1" t="s">
        <v>22</v>
      </c>
      <c r="D25" s="2">
        <f>SUM(D9:D12)*10%</f>
        <v>39127.5</v>
      </c>
      <c r="E25" s="2">
        <f>F2*30-E10</f>
        <v>0</v>
      </c>
      <c r="F25" s="2"/>
      <c r="G25" s="2">
        <f t="shared" si="0"/>
        <v>39127.5</v>
      </c>
    </row>
    <row r="26" spans="3:7" x14ac:dyDescent="0.3">
      <c r="C26" s="1" t="s">
        <v>130</v>
      </c>
      <c r="D26" s="2">
        <f>SUM(D9:D12)*10%</f>
        <v>39127.5</v>
      </c>
      <c r="E26" s="2">
        <v>0</v>
      </c>
      <c r="F26" s="2"/>
      <c r="G26" s="2">
        <f>D26-E26-F26</f>
        <v>39127.5</v>
      </c>
    </row>
    <row r="27" spans="3:7" x14ac:dyDescent="0.3">
      <c r="D27" s="2">
        <f>SUM(D9:D26)</f>
        <v>710710.94098360662</v>
      </c>
      <c r="E27" s="2">
        <f>SUM(E9:E26)</f>
        <v>134172.09098360655</v>
      </c>
      <c r="F27" s="2">
        <f>SUM(F9:F26)</f>
        <v>76165</v>
      </c>
      <c r="G27" s="2">
        <f>SUM(G9:G26)</f>
        <v>500373.85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1" spans="2:7" x14ac:dyDescent="0.3">
      <c r="B41" s="1" t="s">
        <v>0</v>
      </c>
      <c r="C41" s="1" t="s">
        <v>35</v>
      </c>
      <c r="E41" s="1" t="s">
        <v>184</v>
      </c>
    </row>
    <row r="42" spans="2:7" x14ac:dyDescent="0.3">
      <c r="B42" s="1" t="s">
        <v>1</v>
      </c>
      <c r="C42" s="2">
        <f>+'Tab-2018'!I39</f>
        <v>1000</v>
      </c>
      <c r="E42" s="1" t="s">
        <v>194</v>
      </c>
      <c r="F42" s="33">
        <f>+Eleuterio!F2</f>
        <v>80.599999999999994</v>
      </c>
    </row>
    <row r="43" spans="2:7" x14ac:dyDescent="0.3">
      <c r="B43" s="1" t="s">
        <v>104</v>
      </c>
      <c r="C43" s="2">
        <f>((C42*366)+D50+D51+D52)/366</f>
        <v>1228.8251366120219</v>
      </c>
    </row>
    <row r="44" spans="2:7" x14ac:dyDescent="0.3">
      <c r="B44" s="1" t="s">
        <v>2</v>
      </c>
      <c r="C44" s="1">
        <v>8</v>
      </c>
    </row>
    <row r="45" spans="2:7" x14ac:dyDescent="0.3">
      <c r="B45" s="1" t="s">
        <v>26</v>
      </c>
      <c r="C45" s="1">
        <v>7</v>
      </c>
    </row>
    <row r="47" spans="2:7" ht="16.5" x14ac:dyDescent="0.35"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</row>
    <row r="49" spans="3:7" x14ac:dyDescent="0.3">
      <c r="C49" s="1" t="s">
        <v>8</v>
      </c>
      <c r="D49" s="2">
        <f>(C42*366)-((C44+C45)*C42)</f>
        <v>351000</v>
      </c>
      <c r="E49" s="2"/>
      <c r="F49" s="2"/>
      <c r="G49" s="2">
        <f>D49-E49-F49</f>
        <v>351000</v>
      </c>
    </row>
    <row r="50" spans="3:7" x14ac:dyDescent="0.3">
      <c r="C50" s="1" t="s">
        <v>9</v>
      </c>
      <c r="D50" s="2">
        <f>C42*30</f>
        <v>30000</v>
      </c>
      <c r="E50" s="2">
        <f>F42*30</f>
        <v>2418</v>
      </c>
      <c r="F50" s="2"/>
      <c r="G50" s="2">
        <f t="shared" ref="G50" si="1">D50-E50-F50</f>
        <v>27582</v>
      </c>
    </row>
    <row r="51" spans="3:7" x14ac:dyDescent="0.3">
      <c r="C51" s="1" t="s">
        <v>10</v>
      </c>
      <c r="D51" s="2">
        <f>C42*15*0.25</f>
        <v>3750</v>
      </c>
      <c r="E51" s="2">
        <f>+F42*15</f>
        <v>1209</v>
      </c>
      <c r="F51" s="2"/>
      <c r="G51" s="2">
        <f>D51-E51-F51</f>
        <v>2541</v>
      </c>
    </row>
    <row r="52" spans="3:7" x14ac:dyDescent="0.3">
      <c r="C52" s="1" t="s">
        <v>11</v>
      </c>
      <c r="D52" s="2">
        <f>C42*50</f>
        <v>50000</v>
      </c>
      <c r="E52" s="2">
        <f>F42*50</f>
        <v>4029.9999999999995</v>
      </c>
      <c r="F52" s="2"/>
      <c r="G52" s="2">
        <f t="shared" ref="G52:G65" si="2">D52-E52-F52</f>
        <v>45970</v>
      </c>
    </row>
    <row r="53" spans="3:7" x14ac:dyDescent="0.3">
      <c r="C53" s="1" t="s">
        <v>12</v>
      </c>
      <c r="D53" s="2">
        <f>(C42/8)*270</f>
        <v>33750</v>
      </c>
      <c r="E53" s="2">
        <f>D53*50%</f>
        <v>16875</v>
      </c>
      <c r="F53" s="2"/>
      <c r="G53" s="2">
        <f t="shared" si="2"/>
        <v>16875</v>
      </c>
    </row>
    <row r="54" spans="3:7" x14ac:dyDescent="0.3">
      <c r="C54" s="1" t="s">
        <v>13</v>
      </c>
      <c r="D54" s="2">
        <v>2450</v>
      </c>
      <c r="E54" s="2">
        <f>F42*15</f>
        <v>1209</v>
      </c>
      <c r="F54" s="2"/>
      <c r="G54" s="2">
        <f t="shared" si="2"/>
        <v>1241</v>
      </c>
    </row>
    <row r="55" spans="3:7" x14ac:dyDescent="0.3">
      <c r="C55" s="1" t="s">
        <v>14</v>
      </c>
      <c r="D55" s="2">
        <f>SUM(D49:D52)*13%</f>
        <v>56517.5</v>
      </c>
      <c r="E55" s="2">
        <f>SUM(D49:D52)*13%</f>
        <v>56517.5</v>
      </c>
      <c r="F55" s="2"/>
      <c r="G55" s="2">
        <f t="shared" si="2"/>
        <v>0</v>
      </c>
    </row>
    <row r="56" spans="3:7" x14ac:dyDescent="0.3">
      <c r="C56" s="1" t="s">
        <v>101</v>
      </c>
      <c r="D56" s="2">
        <f>SUM(D49:D52)*5%</f>
        <v>21737.5</v>
      </c>
      <c r="E56" s="2"/>
      <c r="F56" s="2"/>
      <c r="G56" s="2">
        <f t="shared" si="2"/>
        <v>21737.5</v>
      </c>
    </row>
    <row r="57" spans="3:7" x14ac:dyDescent="0.3">
      <c r="C57" s="1" t="s">
        <v>15</v>
      </c>
      <c r="D57" s="2">
        <v>18000</v>
      </c>
      <c r="E57" s="2">
        <f>+D57</f>
        <v>18000</v>
      </c>
      <c r="F57" s="2"/>
      <c r="G57" s="2">
        <f t="shared" si="2"/>
        <v>0</v>
      </c>
    </row>
    <row r="58" spans="3:7" x14ac:dyDescent="0.3">
      <c r="C58" s="1" t="s">
        <v>16</v>
      </c>
      <c r="D58" s="2">
        <f>F42*365*40%</f>
        <v>11767.599999999999</v>
      </c>
      <c r="E58" s="2">
        <f>+F42*365-E57</f>
        <v>11418.999999999996</v>
      </c>
      <c r="F58" s="2"/>
      <c r="G58" s="2">
        <f t="shared" si="2"/>
        <v>348.60000000000218</v>
      </c>
    </row>
    <row r="59" spans="3:7" x14ac:dyDescent="0.3">
      <c r="C59" s="1" t="s">
        <v>178</v>
      </c>
      <c r="D59" s="2">
        <f>C44*C43*40%</f>
        <v>3932.2404371584703</v>
      </c>
      <c r="E59" s="2">
        <f>D59</f>
        <v>3932.2404371584703</v>
      </c>
      <c r="F59" s="2"/>
      <c r="G59" s="2">
        <f t="shared" si="2"/>
        <v>0</v>
      </c>
    </row>
    <row r="60" spans="3:7" x14ac:dyDescent="0.3">
      <c r="C60" s="1" t="s">
        <v>179</v>
      </c>
      <c r="D60" s="2">
        <f>C43*C44*60%</f>
        <v>5898.3606557377052</v>
      </c>
      <c r="E60" s="2">
        <f>D60</f>
        <v>5898.3606557377052</v>
      </c>
      <c r="F60" s="2"/>
      <c r="G60" s="2">
        <f t="shared" si="2"/>
        <v>0</v>
      </c>
    </row>
    <row r="61" spans="3:7" x14ac:dyDescent="0.3">
      <c r="C61" s="1" t="s">
        <v>18</v>
      </c>
      <c r="D61" s="2">
        <f>SUM(D49:D52)*5.2%</f>
        <v>22607.000000000004</v>
      </c>
      <c r="E61" s="2">
        <f>D61</f>
        <v>22607.000000000004</v>
      </c>
      <c r="F61" s="2"/>
      <c r="G61" s="2">
        <f t="shared" si="2"/>
        <v>0</v>
      </c>
    </row>
    <row r="62" spans="3:7" x14ac:dyDescent="0.3">
      <c r="C62" s="1" t="s">
        <v>19</v>
      </c>
      <c r="D62" s="2">
        <f>C42*60</f>
        <v>60000</v>
      </c>
      <c r="E62" s="2"/>
      <c r="F62" s="2">
        <f>D62</f>
        <v>60000</v>
      </c>
      <c r="G62" s="2">
        <f t="shared" si="2"/>
        <v>0</v>
      </c>
    </row>
    <row r="63" spans="3:7" x14ac:dyDescent="0.3">
      <c r="C63" s="1" t="s">
        <v>20</v>
      </c>
      <c r="D63" s="2">
        <f>+F42*275</f>
        <v>22165</v>
      </c>
      <c r="E63" s="2"/>
      <c r="F63" s="2">
        <f>D63</f>
        <v>22165</v>
      </c>
      <c r="G63" s="2">
        <f t="shared" si="2"/>
        <v>0</v>
      </c>
    </row>
    <row r="64" spans="3:7" x14ac:dyDescent="0.3">
      <c r="C64" s="1" t="s">
        <v>21</v>
      </c>
      <c r="D64" s="2">
        <v>2800</v>
      </c>
      <c r="E64" s="2">
        <v>640</v>
      </c>
      <c r="F64" s="2"/>
      <c r="G64" s="2">
        <f t="shared" si="2"/>
        <v>2160</v>
      </c>
    </row>
    <row r="65" spans="2:7" x14ac:dyDescent="0.3">
      <c r="C65" s="1" t="s">
        <v>22</v>
      </c>
      <c r="D65" s="2">
        <f>SUM(D49:D52)*10%</f>
        <v>43475</v>
      </c>
      <c r="E65" s="2">
        <f>F42*30-E50</f>
        <v>0</v>
      </c>
      <c r="F65" s="2"/>
      <c r="G65" s="2">
        <f t="shared" si="2"/>
        <v>43475</v>
      </c>
    </row>
    <row r="66" spans="2:7" x14ac:dyDescent="0.3">
      <c r="C66" s="1" t="s">
        <v>130</v>
      </c>
      <c r="D66" s="2">
        <f>SUM(D49:D52)*10%</f>
        <v>43475</v>
      </c>
      <c r="E66" s="2">
        <v>0</v>
      </c>
      <c r="F66" s="2"/>
      <c r="G66" s="2">
        <f>D66-E66-F66</f>
        <v>43475</v>
      </c>
    </row>
    <row r="67" spans="2:7" x14ac:dyDescent="0.3">
      <c r="D67" s="2">
        <f>SUM(D49:D66)</f>
        <v>783325.20109289617</v>
      </c>
      <c r="E67" s="2">
        <f>SUM(E49:E66)</f>
        <v>144755.10109289619</v>
      </c>
      <c r="F67" s="2">
        <f>SUM(F49:F66)</f>
        <v>82165</v>
      </c>
      <c r="G67" s="2">
        <f>SUM(G49:G66)</f>
        <v>556405.1</v>
      </c>
    </row>
    <row r="69" spans="2:7" x14ac:dyDescent="0.3">
      <c r="C69" s="1" t="s">
        <v>135</v>
      </c>
    </row>
    <row r="70" spans="2:7" x14ac:dyDescent="0.3">
      <c r="D70" s="2">
        <f>F42*366</f>
        <v>29499.599999999999</v>
      </c>
      <c r="E70" s="1" t="s">
        <v>87</v>
      </c>
    </row>
    <row r="71" spans="2:7" x14ac:dyDescent="0.3">
      <c r="C71" s="1" t="s">
        <v>196</v>
      </c>
      <c r="E71" s="1" t="s">
        <v>86</v>
      </c>
    </row>
    <row r="73" spans="2:7" x14ac:dyDescent="0.3">
      <c r="C73" s="1" t="s">
        <v>96</v>
      </c>
    </row>
    <row r="74" spans="2:7" x14ac:dyDescent="0.3">
      <c r="C74" s="1" t="s">
        <v>88</v>
      </c>
      <c r="D74" s="30">
        <f>F42*366*1.3</f>
        <v>38349.479999999996</v>
      </c>
      <c r="E74" s="1" t="s">
        <v>136</v>
      </c>
    </row>
    <row r="76" spans="2:7" x14ac:dyDescent="0.3">
      <c r="C76" s="1" t="s">
        <v>90</v>
      </c>
    </row>
    <row r="78" spans="2:7" x14ac:dyDescent="0.3">
      <c r="C78" s="1" t="s">
        <v>91</v>
      </c>
    </row>
    <row r="79" spans="2:7" x14ac:dyDescent="0.3">
      <c r="C79" s="1" t="s">
        <v>100</v>
      </c>
    </row>
    <row r="80" spans="2:7" x14ac:dyDescent="0.3">
      <c r="B80" s="1" t="s">
        <v>0</v>
      </c>
      <c r="C80" s="1" t="s">
        <v>35</v>
      </c>
      <c r="E80" s="1" t="s">
        <v>184</v>
      </c>
    </row>
    <row r="81" spans="2:7" x14ac:dyDescent="0.3">
      <c r="B81" s="1" t="s">
        <v>1</v>
      </c>
      <c r="C81" s="2">
        <f>+'Tab-2018'!I40</f>
        <v>1200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((C81*366)+D89+D90+D91)/366</f>
        <v>1474.5901639344263</v>
      </c>
    </row>
    <row r="83" spans="2:7" x14ac:dyDescent="0.3">
      <c r="B83" s="1" t="s">
        <v>2</v>
      </c>
      <c r="C83" s="1">
        <v>8</v>
      </c>
    </row>
    <row r="84" spans="2:7" x14ac:dyDescent="0.3">
      <c r="B84" s="1" t="s">
        <v>26</v>
      </c>
      <c r="C84" s="1">
        <v>7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421200</v>
      </c>
      <c r="E88" s="2"/>
      <c r="F88" s="2"/>
      <c r="G88" s="2">
        <f>D88-E88-F88</f>
        <v>421200</v>
      </c>
    </row>
    <row r="89" spans="2:7" x14ac:dyDescent="0.3">
      <c r="C89" s="1" t="s">
        <v>9</v>
      </c>
      <c r="D89" s="2">
        <f>C81*30</f>
        <v>36000</v>
      </c>
      <c r="E89" s="2">
        <f>F81*30</f>
        <v>2418</v>
      </c>
      <c r="F89" s="2"/>
      <c r="G89" s="2">
        <f t="shared" ref="G89" si="3">D89-E89-F89</f>
        <v>33582</v>
      </c>
    </row>
    <row r="90" spans="2:7" x14ac:dyDescent="0.3">
      <c r="C90" s="1" t="s">
        <v>10</v>
      </c>
      <c r="D90" s="2">
        <f>C81*15*0.25</f>
        <v>4500</v>
      </c>
      <c r="E90" s="2">
        <f>+F81*15</f>
        <v>1209</v>
      </c>
      <c r="F90" s="2"/>
      <c r="G90" s="2">
        <f>D90-E90-F90</f>
        <v>3291</v>
      </c>
    </row>
    <row r="91" spans="2:7" x14ac:dyDescent="0.3">
      <c r="C91" s="1" t="s">
        <v>11</v>
      </c>
      <c r="D91" s="2">
        <f>C81*50</f>
        <v>60000</v>
      </c>
      <c r="E91" s="2">
        <f>F81*50</f>
        <v>4029.9999999999995</v>
      </c>
      <c r="F91" s="2"/>
      <c r="G91" s="2">
        <f t="shared" ref="G91:G104" si="4">D91-E91-F91</f>
        <v>55970</v>
      </c>
    </row>
    <row r="92" spans="2:7" x14ac:dyDescent="0.3">
      <c r="C92" s="1" t="s">
        <v>12</v>
      </c>
      <c r="D92" s="2">
        <f>(C81/8)*270</f>
        <v>40500</v>
      </c>
      <c r="E92" s="2">
        <f>D92*50%</f>
        <v>20250</v>
      </c>
      <c r="F92" s="2"/>
      <c r="G92" s="2">
        <f t="shared" si="4"/>
        <v>20250</v>
      </c>
    </row>
    <row r="93" spans="2:7" x14ac:dyDescent="0.3">
      <c r="C93" s="1" t="s">
        <v>13</v>
      </c>
      <c r="D93" s="2">
        <v>2450</v>
      </c>
      <c r="E93" s="2">
        <f>F81*15</f>
        <v>1209</v>
      </c>
      <c r="F93" s="2"/>
      <c r="G93" s="2">
        <f t="shared" si="4"/>
        <v>1241</v>
      </c>
    </row>
    <row r="94" spans="2:7" x14ac:dyDescent="0.3">
      <c r="C94" s="1" t="s">
        <v>14</v>
      </c>
      <c r="D94" s="2">
        <f>SUM(D88:D91)*13%</f>
        <v>67821</v>
      </c>
      <c r="E94" s="2">
        <f>SUM(D88:D91)*13%</f>
        <v>67821</v>
      </c>
      <c r="F94" s="2"/>
      <c r="G94" s="2">
        <f t="shared" si="4"/>
        <v>0</v>
      </c>
    </row>
    <row r="95" spans="2:7" x14ac:dyDescent="0.3">
      <c r="C95" s="1" t="s">
        <v>101</v>
      </c>
      <c r="D95" s="2">
        <f>SUM(D88:D91)*5%</f>
        <v>26085</v>
      </c>
      <c r="E95" s="2"/>
      <c r="F95" s="2"/>
      <c r="G95" s="2">
        <f t="shared" si="4"/>
        <v>26085</v>
      </c>
    </row>
    <row r="96" spans="2:7" x14ac:dyDescent="0.3">
      <c r="C96" s="1" t="s">
        <v>15</v>
      </c>
      <c r="D96" s="2">
        <v>18000</v>
      </c>
      <c r="E96" s="2">
        <f>+D96</f>
        <v>18000</v>
      </c>
      <c r="F96" s="2"/>
      <c r="G96" s="2">
        <f t="shared" si="4"/>
        <v>0</v>
      </c>
    </row>
    <row r="97" spans="3:7" x14ac:dyDescent="0.3">
      <c r="C97" s="1" t="s">
        <v>16</v>
      </c>
      <c r="D97" s="2">
        <f>F81*365*40%</f>
        <v>11767.599999999999</v>
      </c>
      <c r="E97" s="2">
        <f>+F81*365-E96</f>
        <v>11418.999999999996</v>
      </c>
      <c r="F97" s="2"/>
      <c r="G97" s="2">
        <f t="shared" si="4"/>
        <v>348.60000000000218</v>
      </c>
    </row>
    <row r="98" spans="3:7" x14ac:dyDescent="0.3">
      <c r="C98" s="1" t="s">
        <v>178</v>
      </c>
      <c r="D98" s="2">
        <f>C83*C82*40%</f>
        <v>4718.688524590164</v>
      </c>
      <c r="E98" s="2">
        <f>D98</f>
        <v>4718.688524590164</v>
      </c>
      <c r="F98" s="2"/>
      <c r="G98" s="2">
        <f t="shared" si="4"/>
        <v>0</v>
      </c>
    </row>
    <row r="99" spans="3:7" x14ac:dyDescent="0.3">
      <c r="C99" s="1" t="s">
        <v>179</v>
      </c>
      <c r="D99" s="2">
        <f>C82*C83*60%</f>
        <v>7078.0327868852464</v>
      </c>
      <c r="E99" s="2">
        <f>D99</f>
        <v>7078.0327868852464</v>
      </c>
      <c r="F99" s="2"/>
      <c r="G99" s="2">
        <f t="shared" si="4"/>
        <v>0</v>
      </c>
    </row>
    <row r="100" spans="3:7" x14ac:dyDescent="0.3">
      <c r="C100" s="1" t="s">
        <v>18</v>
      </c>
      <c r="D100" s="2">
        <f>SUM(D88:D91)*5.2%</f>
        <v>27128.400000000001</v>
      </c>
      <c r="E100" s="2">
        <f>D100</f>
        <v>27128.400000000001</v>
      </c>
      <c r="F100" s="2"/>
      <c r="G100" s="2">
        <f t="shared" si="4"/>
        <v>0</v>
      </c>
    </row>
    <row r="101" spans="3:7" x14ac:dyDescent="0.3">
      <c r="C101" s="1" t="s">
        <v>19</v>
      </c>
      <c r="D101" s="2">
        <f>C81*60</f>
        <v>72000</v>
      </c>
      <c r="E101" s="2"/>
      <c r="F101" s="2">
        <f>D101</f>
        <v>72000</v>
      </c>
      <c r="G101" s="2">
        <f t="shared" si="4"/>
        <v>0</v>
      </c>
    </row>
    <row r="102" spans="3:7" x14ac:dyDescent="0.3">
      <c r="C102" s="1" t="s">
        <v>20</v>
      </c>
      <c r="D102" s="2">
        <f>+F81*275</f>
        <v>22165</v>
      </c>
      <c r="E102" s="2"/>
      <c r="F102" s="2">
        <f>D102</f>
        <v>22165</v>
      </c>
      <c r="G102" s="2">
        <f t="shared" si="4"/>
        <v>0</v>
      </c>
    </row>
    <row r="103" spans="3:7" x14ac:dyDescent="0.3">
      <c r="C103" s="1" t="s">
        <v>21</v>
      </c>
      <c r="D103" s="2">
        <v>2800</v>
      </c>
      <c r="E103" s="2">
        <v>640</v>
      </c>
      <c r="F103" s="2"/>
      <c r="G103" s="2">
        <f t="shared" si="4"/>
        <v>2160</v>
      </c>
    </row>
    <row r="104" spans="3:7" x14ac:dyDescent="0.3">
      <c r="C104" s="1" t="s">
        <v>22</v>
      </c>
      <c r="D104" s="2">
        <f>SUM(D88:D91)*10%</f>
        <v>52170</v>
      </c>
      <c r="E104" s="2">
        <f>F81*30-E89</f>
        <v>0</v>
      </c>
      <c r="F104" s="2"/>
      <c r="G104" s="2">
        <f t="shared" si="4"/>
        <v>52170</v>
      </c>
    </row>
    <row r="105" spans="3:7" x14ac:dyDescent="0.3">
      <c r="C105" s="1" t="s">
        <v>130</v>
      </c>
      <c r="D105" s="2">
        <f>SUM(D88:D91)*10%</f>
        <v>52170</v>
      </c>
      <c r="E105" s="2">
        <v>0</v>
      </c>
      <c r="F105" s="2"/>
      <c r="G105" s="2">
        <f>D105-E105-F105</f>
        <v>52170</v>
      </c>
    </row>
    <row r="106" spans="3:7" x14ac:dyDescent="0.3">
      <c r="D106" s="2">
        <f>SUM(D88:D105)</f>
        <v>928553.72131147538</v>
      </c>
      <c r="E106" s="2">
        <f>SUM(E88:E105)</f>
        <v>165921.12131147541</v>
      </c>
      <c r="F106" s="2">
        <f>SUM(F88:F105)</f>
        <v>94165</v>
      </c>
      <c r="G106" s="2">
        <f>SUM(G88:G105)</f>
        <v>668467.6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8"/>
  <sheetViews>
    <sheetView topLeftCell="A95" workbookViewId="0">
      <selection activeCell="C111" sqref="C11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9.7109375" style="1" bestFit="1" customWidth="1"/>
    <col min="5" max="5" width="12.28515625" style="1" customWidth="1"/>
    <col min="6" max="7" width="12.5703125" style="1" customWidth="1"/>
    <col min="8" max="16384" width="11.42578125" style="1"/>
  </cols>
  <sheetData>
    <row r="1" spans="2:7" x14ac:dyDescent="0.3">
      <c r="B1" s="1" t="s">
        <v>0</v>
      </c>
      <c r="C1" s="1" t="s">
        <v>107</v>
      </c>
      <c r="E1" s="1" t="s">
        <v>184</v>
      </c>
    </row>
    <row r="2" spans="2:7" x14ac:dyDescent="0.3">
      <c r="B2" s="1" t="s">
        <v>1</v>
      </c>
      <c r="C2" s="2">
        <f>+'Tab-2018'!I41</f>
        <v>1300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((C2*366)+D10+D11+D12+D13)/366</f>
        <v>1717.3497267759562</v>
      </c>
    </row>
    <row r="4" spans="2:7" x14ac:dyDescent="0.3">
      <c r="B4" s="1" t="s">
        <v>92</v>
      </c>
      <c r="C4" s="1">
        <v>26</v>
      </c>
    </row>
    <row r="5" spans="2:7" x14ac:dyDescent="0.3">
      <c r="B5" s="1" t="s">
        <v>26</v>
      </c>
      <c r="C5" s="1">
        <v>4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436800</v>
      </c>
      <c r="E9" s="2"/>
      <c r="F9" s="2"/>
      <c r="G9" s="2">
        <f t="shared" ref="G9:G25" si="0">D9-E9-F9</f>
        <v>436800</v>
      </c>
    </row>
    <row r="10" spans="2:7" x14ac:dyDescent="0.3">
      <c r="C10" s="1" t="s">
        <v>9</v>
      </c>
      <c r="D10" s="2">
        <f>C2*30</f>
        <v>39000</v>
      </c>
      <c r="E10" s="2">
        <f>F2*30</f>
        <v>2418</v>
      </c>
      <c r="F10" s="2"/>
      <c r="G10" s="2">
        <f t="shared" si="0"/>
        <v>36582</v>
      </c>
    </row>
    <row r="11" spans="2:7" x14ac:dyDescent="0.3">
      <c r="C11" s="1" t="s">
        <v>10</v>
      </c>
      <c r="D11" s="2">
        <f>C2*15*0.25</f>
        <v>4875</v>
      </c>
      <c r="E11" s="2">
        <f>+F2*15</f>
        <v>1209</v>
      </c>
      <c r="F11" s="2"/>
      <c r="G11" s="2">
        <f t="shared" si="0"/>
        <v>3666</v>
      </c>
    </row>
    <row r="12" spans="2:7" x14ac:dyDescent="0.3">
      <c r="C12" s="1" t="s">
        <v>11</v>
      </c>
      <c r="D12" s="2">
        <f>C2*50</f>
        <v>65000</v>
      </c>
      <c r="E12" s="2">
        <f>F2*50</f>
        <v>4029.9999999999995</v>
      </c>
      <c r="F12" s="2"/>
      <c r="G12" s="2">
        <f t="shared" si="0"/>
        <v>60970</v>
      </c>
    </row>
    <row r="13" spans="2:7" x14ac:dyDescent="0.3">
      <c r="C13" s="1" t="s">
        <v>12</v>
      </c>
      <c r="D13" s="2">
        <f>(C2/8)*270</f>
        <v>43875</v>
      </c>
      <c r="E13" s="2">
        <f>D13*50%</f>
        <v>21937.5</v>
      </c>
      <c r="F13" s="2"/>
      <c r="G13" s="2">
        <f t="shared" si="0"/>
        <v>21937.5</v>
      </c>
    </row>
    <row r="14" spans="2:7" x14ac:dyDescent="0.3">
      <c r="C14" s="1" t="s">
        <v>13</v>
      </c>
      <c r="D14" s="2">
        <v>2500</v>
      </c>
      <c r="E14" s="2">
        <f>F2*15</f>
        <v>1209</v>
      </c>
      <c r="F14" s="2"/>
      <c r="G14" s="2">
        <f t="shared" si="0"/>
        <v>1291</v>
      </c>
    </row>
    <row r="15" spans="2:7" x14ac:dyDescent="0.3">
      <c r="C15" s="1" t="s">
        <v>14</v>
      </c>
      <c r="D15" s="2">
        <f>SUM(D9:D12)*13%</f>
        <v>70937.75</v>
      </c>
      <c r="E15" s="2">
        <f>+D15</f>
        <v>70937.75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27283.75</v>
      </c>
      <c r="E16" s="2"/>
      <c r="F16" s="2"/>
      <c r="G16" s="2">
        <f t="shared" si="0"/>
        <v>27283.75</v>
      </c>
    </row>
    <row r="17" spans="3:7" x14ac:dyDescent="0.3">
      <c r="C17" s="1" t="s">
        <v>15</v>
      </c>
      <c r="D17" s="2">
        <f>C2*60</f>
        <v>78000</v>
      </c>
      <c r="E17" s="2">
        <f>+F2*365</f>
        <v>29418.999999999996</v>
      </c>
      <c r="F17" s="2"/>
      <c r="G17" s="2">
        <f t="shared" si="0"/>
        <v>48581</v>
      </c>
    </row>
    <row r="18" spans="3:7" x14ac:dyDescent="0.3">
      <c r="C18" s="1" t="s">
        <v>16</v>
      </c>
      <c r="D18" s="2">
        <f>F2*365*40%</f>
        <v>11767.599999999999</v>
      </c>
      <c r="E18" s="2">
        <v>0</v>
      </c>
      <c r="F18" s="2"/>
      <c r="G18" s="2">
        <f t="shared" si="0"/>
        <v>11767.599999999999</v>
      </c>
    </row>
    <row r="19" spans="3:7" x14ac:dyDescent="0.3">
      <c r="C19" s="1" t="s">
        <v>178</v>
      </c>
      <c r="D19" s="2">
        <v>0</v>
      </c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C3*C4*100%</f>
        <v>44651.092896174865</v>
      </c>
      <c r="E20" s="2">
        <f>D20</f>
        <v>44651.092896174865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28375.100000000002</v>
      </c>
      <c r="E21" s="2">
        <f>D21</f>
        <v>28375.100000000002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78000</v>
      </c>
      <c r="E22" s="2"/>
      <c r="F22" s="2">
        <f>D22</f>
        <v>78000</v>
      </c>
      <c r="G22" s="2">
        <f t="shared" si="0"/>
        <v>0</v>
      </c>
    </row>
    <row r="23" spans="3:7" x14ac:dyDescent="0.3">
      <c r="C23" s="1" t="s">
        <v>20</v>
      </c>
      <c r="D23" s="2">
        <f>+F2*260</f>
        <v>20956</v>
      </c>
      <c r="E23" s="2"/>
      <c r="F23" s="2">
        <f>D23</f>
        <v>20956</v>
      </c>
      <c r="G23" s="2">
        <f t="shared" si="0"/>
        <v>0</v>
      </c>
    </row>
    <row r="24" spans="3:7" x14ac:dyDescent="0.3">
      <c r="C24" s="1" t="s">
        <v>21</v>
      </c>
      <c r="D24" s="2">
        <v>22800</v>
      </c>
      <c r="E24" s="2">
        <v>20650</v>
      </c>
      <c r="F24" s="2"/>
      <c r="G24" s="2">
        <f t="shared" si="0"/>
        <v>2150</v>
      </c>
    </row>
    <row r="25" spans="3:7" x14ac:dyDescent="0.3">
      <c r="C25" s="1" t="s">
        <v>22</v>
      </c>
      <c r="D25" s="2">
        <f>SUM(D9:D12)*10%</f>
        <v>54567.5</v>
      </c>
      <c r="E25" s="2">
        <f>F2*30-E10</f>
        <v>0</v>
      </c>
      <c r="F25" s="2"/>
      <c r="G25" s="2">
        <f t="shared" si="0"/>
        <v>54567.5</v>
      </c>
    </row>
    <row r="26" spans="3:7" x14ac:dyDescent="0.3">
      <c r="C26" s="1" t="s">
        <v>130</v>
      </c>
      <c r="D26" s="2">
        <f>SUM(D9:D12)*10%</f>
        <v>54567.5</v>
      </c>
      <c r="E26" s="2">
        <v>0</v>
      </c>
      <c r="F26" s="2"/>
      <c r="G26" s="2">
        <f>D26-E26-F26</f>
        <v>54567.5</v>
      </c>
    </row>
    <row r="27" spans="3:7" x14ac:dyDescent="0.3">
      <c r="D27" s="2">
        <f>SUM(D9:D26)</f>
        <v>1083956.2928961748</v>
      </c>
      <c r="E27" s="2">
        <f>SUM(E9:E26)</f>
        <v>224836.44289617488</v>
      </c>
      <c r="F27" s="2">
        <f>SUM(F9:F26)</f>
        <v>98956</v>
      </c>
      <c r="G27" s="2">
        <f>SUM(G9:G26)</f>
        <v>760163.85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197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107</v>
      </c>
      <c r="E40" s="1" t="s">
        <v>184</v>
      </c>
    </row>
    <row r="41" spans="2:7" x14ac:dyDescent="0.3">
      <c r="B41" s="1" t="s">
        <v>1</v>
      </c>
      <c r="C41" s="2">
        <f>+'Tab-2018'!I42</f>
        <v>1350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((C41*366)+D49+D50+D51+D52)/366</f>
        <v>1783.4016393442623</v>
      </c>
    </row>
    <row r="43" spans="2:7" x14ac:dyDescent="0.3">
      <c r="B43" s="1" t="s">
        <v>92</v>
      </c>
      <c r="C43" s="1">
        <v>26</v>
      </c>
    </row>
    <row r="44" spans="2:7" x14ac:dyDescent="0.3">
      <c r="B44" s="1" t="s">
        <v>26</v>
      </c>
      <c r="C44" s="1">
        <v>4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453600</v>
      </c>
      <c r="E48" s="2"/>
      <c r="F48" s="2"/>
      <c r="G48" s="2">
        <f t="shared" ref="G48:G64" si="1">D48-E48-F48</f>
        <v>453600</v>
      </c>
    </row>
    <row r="49" spans="3:7" x14ac:dyDescent="0.3">
      <c r="C49" s="1" t="s">
        <v>9</v>
      </c>
      <c r="D49" s="2">
        <f>C41*30</f>
        <v>40500</v>
      </c>
      <c r="E49" s="2">
        <f>F41*30</f>
        <v>2191.2000000000003</v>
      </c>
      <c r="F49" s="2"/>
      <c r="G49" s="2">
        <f t="shared" si="1"/>
        <v>38308.800000000003</v>
      </c>
    </row>
    <row r="50" spans="3:7" x14ac:dyDescent="0.3">
      <c r="C50" s="1" t="s">
        <v>10</v>
      </c>
      <c r="D50" s="2">
        <f>C41*15*0.25</f>
        <v>5062.5</v>
      </c>
      <c r="E50" s="2">
        <f>+F41*15</f>
        <v>1095.6000000000001</v>
      </c>
      <c r="F50" s="2"/>
      <c r="G50" s="2">
        <f t="shared" si="1"/>
        <v>3966.8999999999996</v>
      </c>
    </row>
    <row r="51" spans="3:7" x14ac:dyDescent="0.3">
      <c r="C51" s="1" t="s">
        <v>11</v>
      </c>
      <c r="D51" s="2">
        <f>C41*50</f>
        <v>67500</v>
      </c>
      <c r="E51" s="2">
        <f>F41*50</f>
        <v>3652.0000000000005</v>
      </c>
      <c r="F51" s="2"/>
      <c r="G51" s="2">
        <f t="shared" si="1"/>
        <v>63848</v>
      </c>
    </row>
    <row r="52" spans="3:7" x14ac:dyDescent="0.3">
      <c r="C52" s="1" t="s">
        <v>12</v>
      </c>
      <c r="D52" s="2">
        <f>(C41/8)*270</f>
        <v>45562.5</v>
      </c>
      <c r="E52" s="2">
        <f>D52*50%</f>
        <v>22781.25</v>
      </c>
      <c r="F52" s="2"/>
      <c r="G52" s="2">
        <f t="shared" si="1"/>
        <v>22781.25</v>
      </c>
    </row>
    <row r="53" spans="3:7" x14ac:dyDescent="0.3">
      <c r="C53" s="1" t="s">
        <v>13</v>
      </c>
      <c r="D53" s="2">
        <v>2500</v>
      </c>
      <c r="E53" s="2">
        <f>F41*15</f>
        <v>1095.6000000000001</v>
      </c>
      <c r="F53" s="2"/>
      <c r="G53" s="2">
        <f t="shared" si="1"/>
        <v>1404.3999999999999</v>
      </c>
    </row>
    <row r="54" spans="3:7" x14ac:dyDescent="0.3">
      <c r="C54" s="1" t="s">
        <v>14</v>
      </c>
      <c r="D54" s="2">
        <f>SUM(D48:D51)*13%</f>
        <v>73666.125</v>
      </c>
      <c r="E54" s="2">
        <f>+D54</f>
        <v>73666.125</v>
      </c>
      <c r="F54" s="2"/>
      <c r="G54" s="2">
        <f t="shared" si="1"/>
        <v>0</v>
      </c>
    </row>
    <row r="55" spans="3:7" x14ac:dyDescent="0.3">
      <c r="C55" s="1" t="s">
        <v>101</v>
      </c>
      <c r="D55" s="2">
        <f>SUM(D48:D51)*5%</f>
        <v>28333.125</v>
      </c>
      <c r="E55" s="2"/>
      <c r="F55" s="2"/>
      <c r="G55" s="2">
        <f t="shared" si="1"/>
        <v>28333.125</v>
      </c>
    </row>
    <row r="56" spans="3:7" x14ac:dyDescent="0.3">
      <c r="C56" s="1" t="s">
        <v>15</v>
      </c>
      <c r="D56" s="2">
        <f>C41*60</f>
        <v>81000</v>
      </c>
      <c r="E56" s="2">
        <f>+F41*365</f>
        <v>26659.600000000002</v>
      </c>
      <c r="F56" s="2"/>
      <c r="G56" s="2">
        <f t="shared" si="1"/>
        <v>54340.399999999994</v>
      </c>
    </row>
    <row r="57" spans="3:7" x14ac:dyDescent="0.3">
      <c r="C57" s="1" t="s">
        <v>16</v>
      </c>
      <c r="D57" s="2">
        <f>F41*365*40%</f>
        <v>10663.840000000002</v>
      </c>
      <c r="E57" s="2">
        <v>0</v>
      </c>
      <c r="F57" s="2"/>
      <c r="G57" s="2">
        <f t="shared" si="1"/>
        <v>10663.840000000002</v>
      </c>
    </row>
    <row r="58" spans="3:7" x14ac:dyDescent="0.3">
      <c r="C58" s="1" t="s">
        <v>178</v>
      </c>
      <c r="D58" s="2">
        <v>0</v>
      </c>
      <c r="E58" s="2">
        <f>D58</f>
        <v>0</v>
      </c>
      <c r="F58" s="2"/>
      <c r="G58" s="2">
        <f t="shared" si="1"/>
        <v>0</v>
      </c>
    </row>
    <row r="59" spans="3:7" x14ac:dyDescent="0.3">
      <c r="C59" s="1" t="s">
        <v>179</v>
      </c>
      <c r="D59" s="2">
        <f>C42*C43*100%</f>
        <v>46368.442622950817</v>
      </c>
      <c r="E59" s="2">
        <f>D59</f>
        <v>46368.442622950817</v>
      </c>
      <c r="F59" s="2"/>
      <c r="G59" s="2">
        <f t="shared" si="1"/>
        <v>0</v>
      </c>
    </row>
    <row r="60" spans="3:7" x14ac:dyDescent="0.3">
      <c r="C60" s="1" t="s">
        <v>18</v>
      </c>
      <c r="D60" s="2">
        <f>SUM(D48:D51)*5.2%</f>
        <v>29466.450000000004</v>
      </c>
      <c r="E60" s="2">
        <f>D60</f>
        <v>29466.450000000004</v>
      </c>
      <c r="F60" s="2"/>
      <c r="G60" s="2">
        <f t="shared" si="1"/>
        <v>0</v>
      </c>
    </row>
    <row r="61" spans="3:7" x14ac:dyDescent="0.3">
      <c r="C61" s="1" t="s">
        <v>19</v>
      </c>
      <c r="D61" s="2">
        <f>C41*60</f>
        <v>81000</v>
      </c>
      <c r="E61" s="2"/>
      <c r="F61" s="2">
        <f>D61</f>
        <v>81000</v>
      </c>
      <c r="G61" s="2">
        <f t="shared" si="1"/>
        <v>0</v>
      </c>
    </row>
    <row r="62" spans="3:7" x14ac:dyDescent="0.3">
      <c r="C62" s="1" t="s">
        <v>20</v>
      </c>
      <c r="D62" s="2">
        <f>+F41*260</f>
        <v>18990.400000000001</v>
      </c>
      <c r="E62" s="2"/>
      <c r="F62" s="2">
        <f>D62</f>
        <v>18990.400000000001</v>
      </c>
      <c r="G62" s="2">
        <f t="shared" si="1"/>
        <v>0</v>
      </c>
    </row>
    <row r="63" spans="3:7" x14ac:dyDescent="0.3">
      <c r="C63" s="1" t="s">
        <v>21</v>
      </c>
      <c r="D63" s="2">
        <v>22800</v>
      </c>
      <c r="E63" s="2">
        <v>20650</v>
      </c>
      <c r="F63" s="2"/>
      <c r="G63" s="2">
        <f t="shared" si="1"/>
        <v>2150</v>
      </c>
    </row>
    <row r="64" spans="3:7" x14ac:dyDescent="0.3">
      <c r="C64" s="1" t="s">
        <v>22</v>
      </c>
      <c r="D64" s="2">
        <f>SUM(D48:D51)*10%</f>
        <v>56666.25</v>
      </c>
      <c r="E64" s="2">
        <f>F41*30-E49</f>
        <v>0</v>
      </c>
      <c r="F64" s="2"/>
      <c r="G64" s="2">
        <f t="shared" si="1"/>
        <v>56666.25</v>
      </c>
    </row>
    <row r="65" spans="2:7" x14ac:dyDescent="0.3">
      <c r="C65" s="1" t="s">
        <v>130</v>
      </c>
      <c r="D65" s="2">
        <f>SUM(D48:D51)*10%</f>
        <v>56666.25</v>
      </c>
      <c r="E65" s="2">
        <v>0</v>
      </c>
      <c r="F65" s="2"/>
      <c r="G65" s="2">
        <f>D65-E65-F65</f>
        <v>56666.25</v>
      </c>
    </row>
    <row r="66" spans="2:7" x14ac:dyDescent="0.3">
      <c r="D66" s="2">
        <f>SUM(D48:D65)</f>
        <v>1120345.8826229507</v>
      </c>
      <c r="E66" s="2">
        <f>SUM(E48:E65)</f>
        <v>227626.26762295084</v>
      </c>
      <c r="F66" s="2">
        <f>SUM(F48:F65)</f>
        <v>99990.399999999994</v>
      </c>
      <c r="G66" s="2">
        <f>SUM(G48:G65)</f>
        <v>792729.21499999997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107</v>
      </c>
      <c r="E80" s="1" t="s">
        <v>184</v>
      </c>
    </row>
    <row r="81" spans="2:7" x14ac:dyDescent="0.3">
      <c r="B81" s="1" t="s">
        <v>1</v>
      </c>
      <c r="C81" s="2">
        <f>+'Tab-2018'!I43</f>
        <v>1370</v>
      </c>
      <c r="E81" s="1" t="s">
        <v>194</v>
      </c>
      <c r="F81" s="33">
        <f>+Eleuterio!F2</f>
        <v>80.599999999999994</v>
      </c>
    </row>
    <row r="82" spans="2:7" x14ac:dyDescent="0.3">
      <c r="B82" s="1" t="s">
        <v>104</v>
      </c>
      <c r="C82" s="2">
        <f>((C81*366)+D89+D90+D91+D92)/366</f>
        <v>1809.8224043715848</v>
      </c>
    </row>
    <row r="83" spans="2:7" x14ac:dyDescent="0.3">
      <c r="B83" s="1" t="s">
        <v>92</v>
      </c>
      <c r="C83" s="1">
        <v>26</v>
      </c>
    </row>
    <row r="84" spans="2:7" x14ac:dyDescent="0.3">
      <c r="B84" s="1" t="s">
        <v>26</v>
      </c>
      <c r="C84" s="1">
        <v>4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460320</v>
      </c>
      <c r="E88" s="2"/>
      <c r="F88" s="2"/>
      <c r="G88" s="2">
        <f t="shared" ref="G88:G104" si="2">D88-E88-F88</f>
        <v>460320</v>
      </c>
    </row>
    <row r="89" spans="2:7" x14ac:dyDescent="0.3">
      <c r="C89" s="1" t="s">
        <v>9</v>
      </c>
      <c r="D89" s="2">
        <f>C81*30</f>
        <v>41100</v>
      </c>
      <c r="E89" s="2">
        <f>F81*30</f>
        <v>2418</v>
      </c>
      <c r="F89" s="2"/>
      <c r="G89" s="2">
        <f t="shared" si="2"/>
        <v>38682</v>
      </c>
    </row>
    <row r="90" spans="2:7" x14ac:dyDescent="0.3">
      <c r="C90" s="1" t="s">
        <v>10</v>
      </c>
      <c r="D90" s="2">
        <f>C81*15*0.25</f>
        <v>5137.5</v>
      </c>
      <c r="E90" s="2">
        <f>+F81*15</f>
        <v>1209</v>
      </c>
      <c r="F90" s="2"/>
      <c r="G90" s="2">
        <f t="shared" si="2"/>
        <v>3928.5</v>
      </c>
    </row>
    <row r="91" spans="2:7" x14ac:dyDescent="0.3">
      <c r="C91" s="1" t="s">
        <v>11</v>
      </c>
      <c r="D91" s="2">
        <f>C81*50</f>
        <v>68500</v>
      </c>
      <c r="E91" s="2">
        <f>F81*50</f>
        <v>4029.9999999999995</v>
      </c>
      <c r="F91" s="2"/>
      <c r="G91" s="2">
        <f t="shared" si="2"/>
        <v>64470</v>
      </c>
    </row>
    <row r="92" spans="2:7" x14ac:dyDescent="0.3">
      <c r="C92" s="1" t="s">
        <v>12</v>
      </c>
      <c r="D92" s="2">
        <f>(C81/8)*270</f>
        <v>46237.5</v>
      </c>
      <c r="E92" s="2">
        <f>D92*50%</f>
        <v>23118.75</v>
      </c>
      <c r="F92" s="2"/>
      <c r="G92" s="2">
        <f t="shared" si="2"/>
        <v>23118.75</v>
      </c>
    </row>
    <row r="93" spans="2:7" x14ac:dyDescent="0.3">
      <c r="C93" s="1" t="s">
        <v>13</v>
      </c>
      <c r="D93" s="2">
        <v>2500</v>
      </c>
      <c r="E93" s="2">
        <f>F81*15</f>
        <v>1209</v>
      </c>
      <c r="F93" s="2"/>
      <c r="G93" s="2">
        <f t="shared" si="2"/>
        <v>1291</v>
      </c>
    </row>
    <row r="94" spans="2:7" x14ac:dyDescent="0.3">
      <c r="C94" s="1" t="s">
        <v>14</v>
      </c>
      <c r="D94" s="2">
        <f>SUM(D88:D91)*13%</f>
        <v>74757.475000000006</v>
      </c>
      <c r="E94" s="2">
        <f>+D94</f>
        <v>74757.475000000006</v>
      </c>
      <c r="F94" s="2"/>
      <c r="G94" s="2">
        <f t="shared" si="2"/>
        <v>0</v>
      </c>
    </row>
    <row r="95" spans="2:7" x14ac:dyDescent="0.3">
      <c r="C95" s="1" t="s">
        <v>101</v>
      </c>
      <c r="D95" s="2">
        <f>SUM(D88:D91)*5%</f>
        <v>28752.875</v>
      </c>
      <c r="E95" s="2"/>
      <c r="F95" s="2"/>
      <c r="G95" s="2">
        <f t="shared" si="2"/>
        <v>28752.875</v>
      </c>
    </row>
    <row r="96" spans="2:7" x14ac:dyDescent="0.3">
      <c r="C96" s="1" t="s">
        <v>15</v>
      </c>
      <c r="D96" s="2">
        <f>C81*60</f>
        <v>82200</v>
      </c>
      <c r="E96" s="2">
        <f>+F81*365</f>
        <v>29418.999999999996</v>
      </c>
      <c r="F96" s="2"/>
      <c r="G96" s="2">
        <f t="shared" si="2"/>
        <v>52781</v>
      </c>
    </row>
    <row r="97" spans="3:7" x14ac:dyDescent="0.3">
      <c r="C97" s="1" t="s">
        <v>16</v>
      </c>
      <c r="D97" s="2">
        <f>F81*365*40%</f>
        <v>11767.599999999999</v>
      </c>
      <c r="E97" s="2">
        <v>0</v>
      </c>
      <c r="F97" s="2"/>
      <c r="G97" s="2">
        <f t="shared" si="2"/>
        <v>11767.599999999999</v>
      </c>
    </row>
    <row r="98" spans="3:7" x14ac:dyDescent="0.3">
      <c r="C98" s="1" t="s">
        <v>178</v>
      </c>
      <c r="D98" s="2">
        <v>0</v>
      </c>
      <c r="E98" s="2">
        <f>D98</f>
        <v>0</v>
      </c>
      <c r="F98" s="2"/>
      <c r="G98" s="2">
        <f t="shared" si="2"/>
        <v>0</v>
      </c>
    </row>
    <row r="99" spans="3:7" x14ac:dyDescent="0.3">
      <c r="C99" s="1" t="s">
        <v>179</v>
      </c>
      <c r="D99" s="2">
        <f>C82*C83*100%</f>
        <v>47055.382513661207</v>
      </c>
      <c r="E99" s="2">
        <f>D99</f>
        <v>47055.382513661207</v>
      </c>
      <c r="F99" s="2"/>
      <c r="G99" s="2">
        <f t="shared" si="2"/>
        <v>0</v>
      </c>
    </row>
    <row r="100" spans="3:7" x14ac:dyDescent="0.3">
      <c r="C100" s="1" t="s">
        <v>18</v>
      </c>
      <c r="D100" s="2">
        <f>SUM(D88:D91)*5.2%</f>
        <v>29902.99</v>
      </c>
      <c r="E100" s="2">
        <f>D100</f>
        <v>29902.99</v>
      </c>
      <c r="F100" s="2"/>
      <c r="G100" s="2">
        <f t="shared" si="2"/>
        <v>0</v>
      </c>
    </row>
    <row r="101" spans="3:7" x14ac:dyDescent="0.3">
      <c r="C101" s="1" t="s">
        <v>19</v>
      </c>
      <c r="D101" s="2">
        <f>C81*60</f>
        <v>82200</v>
      </c>
      <c r="E101" s="2"/>
      <c r="F101" s="2">
        <f>D101</f>
        <v>82200</v>
      </c>
      <c r="G101" s="2">
        <f t="shared" si="2"/>
        <v>0</v>
      </c>
    </row>
    <row r="102" spans="3:7" x14ac:dyDescent="0.3">
      <c r="C102" s="1" t="s">
        <v>20</v>
      </c>
      <c r="D102" s="2">
        <f>+F81*260</f>
        <v>20956</v>
      </c>
      <c r="E102" s="2"/>
      <c r="F102" s="2">
        <f>D102</f>
        <v>20956</v>
      </c>
      <c r="G102" s="2">
        <f t="shared" si="2"/>
        <v>0</v>
      </c>
    </row>
    <row r="103" spans="3:7" x14ac:dyDescent="0.3">
      <c r="C103" s="1" t="s">
        <v>21</v>
      </c>
      <c r="D103" s="2">
        <v>22800</v>
      </c>
      <c r="E103" s="2">
        <v>20650</v>
      </c>
      <c r="F103" s="2"/>
      <c r="G103" s="2">
        <f t="shared" si="2"/>
        <v>2150</v>
      </c>
    </row>
    <row r="104" spans="3:7" x14ac:dyDescent="0.3">
      <c r="C104" s="1" t="s">
        <v>22</v>
      </c>
      <c r="D104" s="2">
        <f>SUM(D88:D91)*10%</f>
        <v>57505.75</v>
      </c>
      <c r="E104" s="2">
        <f>F81*30-E89</f>
        <v>0</v>
      </c>
      <c r="F104" s="2"/>
      <c r="G104" s="2">
        <f t="shared" si="2"/>
        <v>57505.75</v>
      </c>
    </row>
    <row r="105" spans="3:7" x14ac:dyDescent="0.3">
      <c r="C105" s="1" t="s">
        <v>130</v>
      </c>
      <c r="D105" s="2">
        <f>SUM(D88:D91)*10%</f>
        <v>57505.75</v>
      </c>
      <c r="E105" s="2">
        <v>0</v>
      </c>
      <c r="F105" s="2"/>
      <c r="G105" s="2">
        <f>D105-E105-F105</f>
        <v>57505.75</v>
      </c>
    </row>
    <row r="106" spans="3:7" x14ac:dyDescent="0.3">
      <c r="D106" s="2">
        <f>SUM(D88:D105)</f>
        <v>1139198.8225136611</v>
      </c>
      <c r="E106" s="2">
        <f>SUM(E88:E105)</f>
        <v>233769.5975136612</v>
      </c>
      <c r="F106" s="2">
        <f>SUM(F88:F105)</f>
        <v>103156</v>
      </c>
      <c r="G106" s="2">
        <f>SUM(G88:G105)</f>
        <v>802273.22499999998</v>
      </c>
    </row>
    <row r="108" spans="3:7" x14ac:dyDescent="0.3">
      <c r="C108" s="1" t="s">
        <v>135</v>
      </c>
    </row>
    <row r="109" spans="3:7" x14ac:dyDescent="0.3">
      <c r="D109" s="2">
        <f>F81*366</f>
        <v>29499.599999999999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38349.479999999996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G143"/>
  <sheetViews>
    <sheetView topLeftCell="A116" workbookViewId="0">
      <selection activeCell="C136" sqref="C136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1.5703125" style="1" bestFit="1" customWidth="1"/>
    <col min="4" max="4" width="15" style="1" bestFit="1" customWidth="1"/>
    <col min="5" max="5" width="14.42578125" style="1" customWidth="1"/>
    <col min="6" max="6" width="12.28515625" style="1" customWidth="1"/>
    <col min="7" max="7" width="12.7109375" style="1" customWidth="1"/>
    <col min="8" max="16384" width="11.42578125" style="1"/>
  </cols>
  <sheetData>
    <row r="1" spans="2:7" x14ac:dyDescent="0.3">
      <c r="B1" s="1" t="s">
        <v>0</v>
      </c>
      <c r="C1" s="1" t="s">
        <v>27</v>
      </c>
      <c r="E1" s="1" t="s">
        <v>185</v>
      </c>
    </row>
    <row r="2" spans="2:7" x14ac:dyDescent="0.3">
      <c r="B2" s="1" t="s">
        <v>1</v>
      </c>
      <c r="C2" s="2">
        <f>+'Tab-2018'!I44</f>
        <v>1400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((C2*366)+D12+D10+D11)/366</f>
        <v>1531.967213114754</v>
      </c>
      <c r="E3" s="1" t="s">
        <v>138</v>
      </c>
      <c r="F3" s="2">
        <f>+F2*25</f>
        <v>2014.9999999999998</v>
      </c>
    </row>
    <row r="4" spans="2:7" x14ac:dyDescent="0.3">
      <c r="B4" s="1" t="s">
        <v>26</v>
      </c>
      <c r="C4" s="1">
        <v>18</v>
      </c>
    </row>
    <row r="5" spans="2:7" x14ac:dyDescent="0.3">
      <c r="B5" s="1" t="s">
        <v>2</v>
      </c>
      <c r="C5" s="1">
        <v>7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(C2*366)-(C4*C2)-(C5*C2)</f>
        <v>477400</v>
      </c>
      <c r="E9" s="2"/>
      <c r="F9" s="2"/>
      <c r="G9" s="2">
        <f>D9-E9-F9</f>
        <v>477400</v>
      </c>
    </row>
    <row r="10" spans="2:7" x14ac:dyDescent="0.3">
      <c r="C10" s="1" t="s">
        <v>9</v>
      </c>
      <c r="D10" s="2">
        <f>C2*30</f>
        <v>42000</v>
      </c>
      <c r="E10" s="2">
        <f>F2*30</f>
        <v>2418</v>
      </c>
      <c r="F10" s="2"/>
      <c r="G10" s="2">
        <f t="shared" ref="G10:G25" si="0">D10-E10-F10</f>
        <v>39582</v>
      </c>
    </row>
    <row r="11" spans="2:7" x14ac:dyDescent="0.3">
      <c r="C11" s="1" t="s">
        <v>10</v>
      </c>
      <c r="D11" s="2">
        <f>C2*18*0.25</f>
        <v>6300</v>
      </c>
      <c r="E11" s="2">
        <f>+F2*15</f>
        <v>1209</v>
      </c>
      <c r="F11" s="2"/>
      <c r="G11" s="2">
        <f>D11-E11-F11</f>
        <v>5091</v>
      </c>
    </row>
    <row r="12" spans="2:7" x14ac:dyDescent="0.3">
      <c r="C12" s="1" t="s">
        <v>11</v>
      </c>
      <c r="D12" s="2"/>
      <c r="E12" s="2"/>
      <c r="F12" s="2"/>
      <c r="G12" s="2">
        <f t="shared" si="0"/>
        <v>0</v>
      </c>
    </row>
    <row r="13" spans="2:7" x14ac:dyDescent="0.3">
      <c r="C13" s="1" t="s">
        <v>12</v>
      </c>
      <c r="D13" s="2">
        <f>(C2/8)*275</f>
        <v>48125</v>
      </c>
      <c r="E13" s="2">
        <f>+F2*5*52</f>
        <v>20956</v>
      </c>
      <c r="F13" s="2"/>
      <c r="G13" s="2">
        <f t="shared" si="0"/>
        <v>27169</v>
      </c>
    </row>
    <row r="14" spans="2:7" x14ac:dyDescent="0.3">
      <c r="C14" s="1" t="s">
        <v>13</v>
      </c>
      <c r="D14" s="2">
        <v>1820</v>
      </c>
      <c r="E14" s="2">
        <f>F2*15</f>
        <v>1209</v>
      </c>
      <c r="F14" s="2"/>
      <c r="G14" s="2">
        <f t="shared" si="0"/>
        <v>611</v>
      </c>
    </row>
    <row r="15" spans="2:7" x14ac:dyDescent="0.3">
      <c r="C15" s="1" t="s">
        <v>14</v>
      </c>
      <c r="D15" s="2">
        <f>+D39</f>
        <v>38349.479999999996</v>
      </c>
      <c r="E15" s="2">
        <f>+D15</f>
        <v>38349.479999999996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26285</v>
      </c>
      <c r="E16" s="2">
        <f>+D16</f>
        <v>26285</v>
      </c>
      <c r="F16" s="2"/>
      <c r="G16" s="2">
        <f t="shared" si="0"/>
        <v>0</v>
      </c>
    </row>
    <row r="17" spans="3:7" x14ac:dyDescent="0.3">
      <c r="C17" s="1" t="s">
        <v>15</v>
      </c>
      <c r="D17" s="2">
        <f>C2*15</f>
        <v>21000</v>
      </c>
      <c r="E17" s="2">
        <f>D17</f>
        <v>21000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+D35-E17</f>
        <v>8499.5999999999985</v>
      </c>
      <c r="F18" s="2"/>
      <c r="G18" s="2">
        <f t="shared" si="0"/>
        <v>3300.2400000000016</v>
      </c>
    </row>
    <row r="19" spans="3:7" x14ac:dyDescent="0.3">
      <c r="C19" s="1" t="s">
        <v>178</v>
      </c>
      <c r="D19" s="2">
        <v>0</v>
      </c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/>
      <c r="E20" s="2">
        <f>D20</f>
        <v>0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27336.400000000001</v>
      </c>
      <c r="E21" s="2">
        <f>D21</f>
        <v>27336.400000000001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84000</v>
      </c>
      <c r="E22" s="2"/>
      <c r="F22" s="2">
        <f>D22</f>
        <v>84000</v>
      </c>
      <c r="G22" s="2">
        <f t="shared" si="0"/>
        <v>0</v>
      </c>
    </row>
    <row r="23" spans="3:7" x14ac:dyDescent="0.3">
      <c r="C23" s="1" t="s">
        <v>20</v>
      </c>
      <c r="D23" s="2">
        <f>+F2*265</f>
        <v>21359</v>
      </c>
      <c r="E23" s="2"/>
      <c r="F23" s="2">
        <f>D23</f>
        <v>21359</v>
      </c>
      <c r="G23" s="2">
        <f t="shared" si="0"/>
        <v>0</v>
      </c>
    </row>
    <row r="24" spans="3:7" x14ac:dyDescent="0.3">
      <c r="C24" s="1" t="s">
        <v>21</v>
      </c>
      <c r="D24" s="2">
        <v>4300</v>
      </c>
      <c r="E24" s="2">
        <v>2820</v>
      </c>
      <c r="F24" s="2">
        <f>+D24*0.2</f>
        <v>860</v>
      </c>
      <c r="G24" s="2">
        <f t="shared" si="0"/>
        <v>620</v>
      </c>
    </row>
    <row r="25" spans="3:7" x14ac:dyDescent="0.3">
      <c r="C25" s="1" t="s">
        <v>22</v>
      </c>
      <c r="D25" s="2">
        <f>SUM(D9:D12)*10%</f>
        <v>52570</v>
      </c>
      <c r="E25" s="2">
        <f>F2*30-E10</f>
        <v>0</v>
      </c>
      <c r="F25" s="2"/>
      <c r="G25" s="2">
        <f t="shared" si="0"/>
        <v>52570</v>
      </c>
    </row>
    <row r="26" spans="3:7" x14ac:dyDescent="0.3">
      <c r="C26" s="1" t="s">
        <v>130</v>
      </c>
      <c r="D26" s="2">
        <f>SUM(D9:D12)*10%</f>
        <v>52570</v>
      </c>
      <c r="E26" s="2">
        <v>0</v>
      </c>
      <c r="F26" s="2"/>
      <c r="G26" s="2">
        <f>D26-E26-F26</f>
        <v>52570</v>
      </c>
    </row>
    <row r="27" spans="3:7" x14ac:dyDescent="0.3">
      <c r="D27" s="2">
        <f>SUM(D9:D26)</f>
        <v>915214.72</v>
      </c>
      <c r="E27" s="2">
        <f>SUM(E9:E26)</f>
        <v>150082.47999999998</v>
      </c>
      <c r="F27" s="2">
        <f>SUM(F9:F26)</f>
        <v>106219</v>
      </c>
      <c r="G27" s="2">
        <f>SUM(G9:G26)</f>
        <v>658913.24</v>
      </c>
    </row>
    <row r="29" spans="3:7" x14ac:dyDescent="0.3">
      <c r="C29" s="1" t="s">
        <v>23</v>
      </c>
    </row>
    <row r="30" spans="3:7" x14ac:dyDescent="0.3">
      <c r="C30" s="1" t="s">
        <v>95</v>
      </c>
      <c r="E30" s="2">
        <f>F2*50</f>
        <v>4029.9999999999995</v>
      </c>
    </row>
    <row r="31" spans="3:7" x14ac:dyDescent="0.3">
      <c r="C31" s="1" t="s">
        <v>196</v>
      </c>
    </row>
    <row r="32" spans="3:7" x14ac:dyDescent="0.3">
      <c r="C32" s="1" t="s">
        <v>99</v>
      </c>
    </row>
    <row r="34" spans="3:5" x14ac:dyDescent="0.3">
      <c r="C34" s="1" t="s">
        <v>135</v>
      </c>
    </row>
    <row r="35" spans="3:5" x14ac:dyDescent="0.3">
      <c r="D35" s="2">
        <f>F2*366</f>
        <v>29499.599999999999</v>
      </c>
      <c r="E35" s="1" t="s">
        <v>87</v>
      </c>
    </row>
    <row r="36" spans="3:5" x14ac:dyDescent="0.3">
      <c r="C36" s="1" t="s">
        <v>196</v>
      </c>
      <c r="E36" s="1" t="s">
        <v>86</v>
      </c>
    </row>
    <row r="38" spans="3:5" x14ac:dyDescent="0.3">
      <c r="C38" s="1" t="s">
        <v>96</v>
      </c>
    </row>
    <row r="39" spans="3:5" x14ac:dyDescent="0.3">
      <c r="C39" s="1" t="s">
        <v>88</v>
      </c>
      <c r="D39" s="30">
        <f>F2*366*1.3</f>
        <v>38349.479999999996</v>
      </c>
      <c r="E39" s="1" t="s">
        <v>136</v>
      </c>
    </row>
    <row r="41" spans="3:5" x14ac:dyDescent="0.3">
      <c r="C41" s="1" t="s">
        <v>90</v>
      </c>
    </row>
    <row r="43" spans="3:5" x14ac:dyDescent="0.3">
      <c r="C43" s="1" t="s">
        <v>91</v>
      </c>
    </row>
    <row r="44" spans="3:5" x14ac:dyDescent="0.3">
      <c r="C44" s="1" t="s">
        <v>100</v>
      </c>
    </row>
    <row r="50" spans="2:7" x14ac:dyDescent="0.3">
      <c r="B50" s="1" t="s">
        <v>0</v>
      </c>
      <c r="C50" s="1" t="s">
        <v>27</v>
      </c>
      <c r="E50" s="1" t="s">
        <v>185</v>
      </c>
    </row>
    <row r="51" spans="2:7" x14ac:dyDescent="0.3">
      <c r="B51" s="1" t="s">
        <v>1</v>
      </c>
      <c r="C51" s="2">
        <f>+C2*1.1</f>
        <v>1540.0000000000002</v>
      </c>
      <c r="E51" s="1" t="s">
        <v>194</v>
      </c>
      <c r="F51" s="33">
        <f>+Eleuterio!F2</f>
        <v>80.599999999999994</v>
      </c>
    </row>
    <row r="52" spans="2:7" x14ac:dyDescent="0.3">
      <c r="B52" s="1" t="s">
        <v>104</v>
      </c>
      <c r="C52" s="2">
        <f>((C51*366)+D61+D59+D60)/366</f>
        <v>1685.1639344262298</v>
      </c>
      <c r="E52" s="1" t="s">
        <v>138</v>
      </c>
      <c r="F52" s="2">
        <f>+F51*25</f>
        <v>2014.9999999999998</v>
      </c>
    </row>
    <row r="53" spans="2:7" x14ac:dyDescent="0.3">
      <c r="B53" s="1" t="s">
        <v>26</v>
      </c>
      <c r="C53" s="1">
        <v>18</v>
      </c>
    </row>
    <row r="54" spans="2:7" x14ac:dyDescent="0.3">
      <c r="B54" s="1" t="s">
        <v>2</v>
      </c>
      <c r="C54" s="1">
        <v>7</v>
      </c>
    </row>
    <row r="56" spans="2:7" ht="16.5" x14ac:dyDescent="0.35"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</row>
    <row r="58" spans="2:7" x14ac:dyDescent="0.3">
      <c r="C58" s="1" t="s">
        <v>8</v>
      </c>
      <c r="D58" s="2">
        <f>(C51*366)-(C53*C51)-(C54*C51)</f>
        <v>525140.00000000012</v>
      </c>
      <c r="E58" s="2"/>
      <c r="F58" s="2"/>
      <c r="G58" s="2">
        <f>D58-E58-F58</f>
        <v>525140.00000000012</v>
      </c>
    </row>
    <row r="59" spans="2:7" x14ac:dyDescent="0.3">
      <c r="C59" s="1" t="s">
        <v>9</v>
      </c>
      <c r="D59" s="2">
        <f>C51*30</f>
        <v>46200.000000000007</v>
      </c>
      <c r="E59" s="2">
        <f>F51*30</f>
        <v>2418</v>
      </c>
      <c r="F59" s="2"/>
      <c r="G59" s="2">
        <f t="shared" ref="G59" si="1">D59-E59-F59</f>
        <v>43782.000000000007</v>
      </c>
    </row>
    <row r="60" spans="2:7" x14ac:dyDescent="0.3">
      <c r="C60" s="1" t="s">
        <v>10</v>
      </c>
      <c r="D60" s="2">
        <f>C51*18*0.25</f>
        <v>6930.0000000000009</v>
      </c>
      <c r="E60" s="2">
        <f>+F51*15</f>
        <v>1209</v>
      </c>
      <c r="F60" s="2"/>
      <c r="G60" s="2">
        <f>D60-E60-F60</f>
        <v>5721.0000000000009</v>
      </c>
    </row>
    <row r="61" spans="2:7" x14ac:dyDescent="0.3">
      <c r="C61" s="1" t="s">
        <v>11</v>
      </c>
      <c r="D61" s="2"/>
      <c r="E61" s="2"/>
      <c r="F61" s="2"/>
      <c r="G61" s="2">
        <f t="shared" ref="G61:G74" si="2">D61-E61-F61</f>
        <v>0</v>
      </c>
    </row>
    <row r="62" spans="2:7" x14ac:dyDescent="0.3">
      <c r="C62" s="1" t="s">
        <v>12</v>
      </c>
      <c r="D62" s="2">
        <f>(C51/8)*275</f>
        <v>52937.500000000007</v>
      </c>
      <c r="E62" s="2">
        <f>+F51*5*52</f>
        <v>20956</v>
      </c>
      <c r="F62" s="2"/>
      <c r="G62" s="2">
        <f t="shared" si="2"/>
        <v>31981.500000000007</v>
      </c>
    </row>
    <row r="63" spans="2:7" x14ac:dyDescent="0.3">
      <c r="C63" s="1" t="s">
        <v>13</v>
      </c>
      <c r="D63" s="2">
        <v>1820</v>
      </c>
      <c r="E63" s="2">
        <f>F51*15</f>
        <v>1209</v>
      </c>
      <c r="F63" s="2"/>
      <c r="G63" s="2">
        <f t="shared" si="2"/>
        <v>611</v>
      </c>
    </row>
    <row r="64" spans="2:7" x14ac:dyDescent="0.3">
      <c r="C64" s="1" t="s">
        <v>14</v>
      </c>
      <c r="D64" s="2">
        <f>+D88</f>
        <v>38349.479999999996</v>
      </c>
      <c r="E64" s="2">
        <f>+D64</f>
        <v>38349.479999999996</v>
      </c>
      <c r="F64" s="2"/>
      <c r="G64" s="2">
        <f t="shared" si="2"/>
        <v>0</v>
      </c>
    </row>
    <row r="65" spans="3:7" x14ac:dyDescent="0.3">
      <c r="C65" s="1" t="s">
        <v>101</v>
      </c>
      <c r="D65" s="2">
        <f>SUM(D58:D61)*5%</f>
        <v>28913.500000000007</v>
      </c>
      <c r="E65" s="2">
        <f>+D65</f>
        <v>28913.500000000007</v>
      </c>
      <c r="F65" s="2"/>
      <c r="G65" s="2">
        <f t="shared" si="2"/>
        <v>0</v>
      </c>
    </row>
    <row r="66" spans="3:7" x14ac:dyDescent="0.3">
      <c r="C66" s="1" t="s">
        <v>15</v>
      </c>
      <c r="D66" s="2">
        <f>C51*15</f>
        <v>23100.000000000004</v>
      </c>
      <c r="E66" s="2">
        <f>D66</f>
        <v>23100.000000000004</v>
      </c>
      <c r="F66" s="2"/>
      <c r="G66" s="2">
        <f t="shared" si="2"/>
        <v>0</v>
      </c>
    </row>
    <row r="67" spans="3:7" x14ac:dyDescent="0.3">
      <c r="C67" s="1" t="s">
        <v>16</v>
      </c>
      <c r="D67" s="2">
        <f>F51*366*40%</f>
        <v>11799.84</v>
      </c>
      <c r="E67" s="2">
        <f>+D84-E66</f>
        <v>6399.5999999999949</v>
      </c>
      <c r="F67" s="2"/>
      <c r="G67" s="2">
        <f t="shared" si="2"/>
        <v>5400.2400000000052</v>
      </c>
    </row>
    <row r="68" spans="3:7" x14ac:dyDescent="0.3">
      <c r="C68" s="1" t="s">
        <v>178</v>
      </c>
      <c r="D68" s="2">
        <v>0</v>
      </c>
      <c r="E68" s="2">
        <f>D68</f>
        <v>0</v>
      </c>
      <c r="F68" s="2"/>
      <c r="G68" s="2">
        <f t="shared" si="2"/>
        <v>0</v>
      </c>
    </row>
    <row r="69" spans="3:7" x14ac:dyDescent="0.3">
      <c r="C69" s="1" t="s">
        <v>179</v>
      </c>
      <c r="D69" s="2"/>
      <c r="E69" s="2">
        <f>D69</f>
        <v>0</v>
      </c>
      <c r="F69" s="2"/>
      <c r="G69" s="2">
        <f t="shared" si="2"/>
        <v>0</v>
      </c>
    </row>
    <row r="70" spans="3:7" x14ac:dyDescent="0.3">
      <c r="C70" s="1" t="s">
        <v>18</v>
      </c>
      <c r="D70" s="2">
        <f>SUM(D58:D61)*5.2%</f>
        <v>30070.040000000008</v>
      </c>
      <c r="E70" s="2">
        <f>D70</f>
        <v>30070.040000000008</v>
      </c>
      <c r="F70" s="2"/>
      <c r="G70" s="2">
        <f t="shared" si="2"/>
        <v>0</v>
      </c>
    </row>
    <row r="71" spans="3:7" x14ac:dyDescent="0.3">
      <c r="C71" s="1" t="s">
        <v>19</v>
      </c>
      <c r="D71" s="2">
        <f>C51*60</f>
        <v>92400.000000000015</v>
      </c>
      <c r="E71" s="2"/>
      <c r="F71" s="2">
        <f>D71</f>
        <v>92400.000000000015</v>
      </c>
      <c r="G71" s="2">
        <f t="shared" si="2"/>
        <v>0</v>
      </c>
    </row>
    <row r="72" spans="3:7" x14ac:dyDescent="0.3">
      <c r="C72" s="1" t="s">
        <v>20</v>
      </c>
      <c r="D72" s="2">
        <f>+F51*265</f>
        <v>21359</v>
      </c>
      <c r="E72" s="2"/>
      <c r="F72" s="2">
        <f>D72</f>
        <v>21359</v>
      </c>
      <c r="G72" s="2">
        <f t="shared" si="2"/>
        <v>0</v>
      </c>
    </row>
    <row r="73" spans="3:7" x14ac:dyDescent="0.3">
      <c r="C73" s="1" t="s">
        <v>21</v>
      </c>
      <c r="D73" s="2">
        <v>4300</v>
      </c>
      <c r="E73" s="2">
        <v>2820</v>
      </c>
      <c r="F73" s="2">
        <f>+D73*0.2</f>
        <v>860</v>
      </c>
      <c r="G73" s="2">
        <f t="shared" si="2"/>
        <v>620</v>
      </c>
    </row>
    <row r="74" spans="3:7" x14ac:dyDescent="0.3">
      <c r="C74" s="1" t="s">
        <v>22</v>
      </c>
      <c r="D74" s="2">
        <f>SUM(D58:D61)*10%</f>
        <v>57827.000000000015</v>
      </c>
      <c r="E74" s="2">
        <f>F51*30-E59</f>
        <v>0</v>
      </c>
      <c r="F74" s="2"/>
      <c r="G74" s="2">
        <f t="shared" si="2"/>
        <v>57827.000000000015</v>
      </c>
    </row>
    <row r="75" spans="3:7" x14ac:dyDescent="0.3">
      <c r="C75" s="1" t="s">
        <v>130</v>
      </c>
      <c r="D75" s="2">
        <f>SUM(D58:D61)*10%</f>
        <v>57827.000000000015</v>
      </c>
      <c r="E75" s="2">
        <v>0</v>
      </c>
      <c r="F75" s="2"/>
      <c r="G75" s="2">
        <f>D75-E75-F75</f>
        <v>57827.000000000015</v>
      </c>
    </row>
    <row r="76" spans="3:7" x14ac:dyDescent="0.3">
      <c r="D76" s="2">
        <f>SUM(D58:D75)</f>
        <v>998973.3600000001</v>
      </c>
      <c r="E76" s="2">
        <f>SUM(E58:E75)</f>
        <v>155444.62</v>
      </c>
      <c r="F76" s="2">
        <f>SUM(F58:F75)</f>
        <v>114619.00000000001</v>
      </c>
      <c r="G76" s="2">
        <f>SUM(G58:G75)</f>
        <v>728909.74000000011</v>
      </c>
    </row>
    <row r="78" spans="3:7" x14ac:dyDescent="0.3">
      <c r="C78" s="1" t="s">
        <v>23</v>
      </c>
    </row>
    <row r="79" spans="3:7" x14ac:dyDescent="0.3">
      <c r="C79" s="1" t="s">
        <v>95</v>
      </c>
      <c r="E79" s="2">
        <f>F51*50</f>
        <v>4029.9999999999995</v>
      </c>
    </row>
    <row r="80" spans="3:7" x14ac:dyDescent="0.3">
      <c r="C80" s="1" t="s">
        <v>196</v>
      </c>
    </row>
    <row r="81" spans="3:5" x14ac:dyDescent="0.3">
      <c r="C81" s="1" t="s">
        <v>99</v>
      </c>
    </row>
    <row r="83" spans="3:5" x14ac:dyDescent="0.3">
      <c r="C83" s="1" t="s">
        <v>135</v>
      </c>
    </row>
    <row r="84" spans="3:5" x14ac:dyDescent="0.3">
      <c r="D84" s="2">
        <f>F51*366</f>
        <v>29499.599999999999</v>
      </c>
      <c r="E84" s="1" t="s">
        <v>87</v>
      </c>
    </row>
    <row r="85" spans="3:5" x14ac:dyDescent="0.3">
      <c r="C85" s="1" t="s">
        <v>196</v>
      </c>
      <c r="E85" s="1" t="s">
        <v>86</v>
      </c>
    </row>
    <row r="87" spans="3:5" x14ac:dyDescent="0.3">
      <c r="C87" s="1" t="s">
        <v>96</v>
      </c>
    </row>
    <row r="88" spans="3:5" x14ac:dyDescent="0.3">
      <c r="C88" s="1" t="s">
        <v>88</v>
      </c>
      <c r="D88" s="30">
        <f>F51*366*1.3</f>
        <v>38349.479999999996</v>
      </c>
      <c r="E88" s="1" t="s">
        <v>136</v>
      </c>
    </row>
    <row r="90" spans="3:5" x14ac:dyDescent="0.3">
      <c r="C90" s="1" t="s">
        <v>90</v>
      </c>
    </row>
    <row r="92" spans="3:5" x14ac:dyDescent="0.3">
      <c r="C92" s="1" t="s">
        <v>91</v>
      </c>
    </row>
    <row r="93" spans="3:5" x14ac:dyDescent="0.3">
      <c r="C93" s="1" t="s">
        <v>100</v>
      </c>
    </row>
    <row r="100" spans="2:7" x14ac:dyDescent="0.3">
      <c r="B100" s="1" t="s">
        <v>0</v>
      </c>
      <c r="C100" s="1" t="s">
        <v>27</v>
      </c>
      <c r="E100" s="1" t="s">
        <v>185</v>
      </c>
    </row>
    <row r="101" spans="2:7" x14ac:dyDescent="0.3">
      <c r="B101" s="1" t="s">
        <v>1</v>
      </c>
      <c r="C101" s="2">
        <f>+C51*1.1</f>
        <v>1694.0000000000005</v>
      </c>
      <c r="E101" s="1" t="s">
        <v>194</v>
      </c>
      <c r="F101" s="33">
        <f>+Eleuterio!F2</f>
        <v>80.599999999999994</v>
      </c>
    </row>
    <row r="102" spans="2:7" x14ac:dyDescent="0.3">
      <c r="B102" s="1" t="s">
        <v>104</v>
      </c>
      <c r="C102" s="2">
        <f>((C101*366)+D111+D109+D110)/366</f>
        <v>1853.6803278688528</v>
      </c>
      <c r="E102" s="1" t="s">
        <v>138</v>
      </c>
      <c r="F102" s="2">
        <f>+F101*25</f>
        <v>2014.9999999999998</v>
      </c>
    </row>
    <row r="103" spans="2:7" x14ac:dyDescent="0.3">
      <c r="B103" s="1" t="s">
        <v>26</v>
      </c>
      <c r="C103" s="1">
        <v>18</v>
      </c>
    </row>
    <row r="104" spans="2:7" x14ac:dyDescent="0.3">
      <c r="B104" s="1" t="s">
        <v>2</v>
      </c>
      <c r="C104" s="1">
        <v>7</v>
      </c>
    </row>
    <row r="106" spans="2:7" ht="16.5" x14ac:dyDescent="0.35">
      <c r="C106" s="4" t="s">
        <v>3</v>
      </c>
      <c r="D106" s="4" t="s">
        <v>4</v>
      </c>
      <c r="E106" s="4" t="s">
        <v>5</v>
      </c>
      <c r="F106" s="4" t="s">
        <v>6</v>
      </c>
      <c r="G106" s="4" t="s">
        <v>7</v>
      </c>
    </row>
    <row r="108" spans="2:7" x14ac:dyDescent="0.3">
      <c r="C108" s="1" t="s">
        <v>8</v>
      </c>
      <c r="D108" s="2">
        <f>(C101*366)-(C103*C101)-(C104*C101)</f>
        <v>577654.00000000012</v>
      </c>
      <c r="E108" s="2"/>
      <c r="F108" s="2"/>
      <c r="G108" s="2">
        <f>D108-E108-F108</f>
        <v>577654.00000000012</v>
      </c>
    </row>
    <row r="109" spans="2:7" x14ac:dyDescent="0.3">
      <c r="C109" s="1" t="s">
        <v>9</v>
      </c>
      <c r="D109" s="2">
        <f>C101*30</f>
        <v>50820.000000000015</v>
      </c>
      <c r="E109" s="2">
        <f>F101*30</f>
        <v>2418</v>
      </c>
      <c r="F109" s="2"/>
      <c r="G109" s="2">
        <f t="shared" ref="G109" si="3">D109-E109-F109</f>
        <v>48402.000000000015</v>
      </c>
    </row>
    <row r="110" spans="2:7" x14ac:dyDescent="0.3">
      <c r="C110" s="1" t="s">
        <v>10</v>
      </c>
      <c r="D110" s="2">
        <f>C101*18*0.25</f>
        <v>7623.0000000000018</v>
      </c>
      <c r="E110" s="2">
        <f>+F101*15</f>
        <v>1209</v>
      </c>
      <c r="F110" s="2"/>
      <c r="G110" s="2">
        <f>D110-E110-F110</f>
        <v>6414.0000000000018</v>
      </c>
    </row>
    <row r="111" spans="2:7" x14ac:dyDescent="0.3">
      <c r="C111" s="1" t="s">
        <v>11</v>
      </c>
      <c r="D111" s="2"/>
      <c r="E111" s="2"/>
      <c r="F111" s="2"/>
      <c r="G111" s="2">
        <f t="shared" ref="G111:G124" si="4">D111-E111-F111</f>
        <v>0</v>
      </c>
    </row>
    <row r="112" spans="2:7" x14ac:dyDescent="0.3">
      <c r="C112" s="1" t="s">
        <v>12</v>
      </c>
      <c r="D112" s="2">
        <f>(C101/8)*275</f>
        <v>58231.250000000015</v>
      </c>
      <c r="E112" s="2">
        <f>+F101*5*52</f>
        <v>20956</v>
      </c>
      <c r="F112" s="2"/>
      <c r="G112" s="2">
        <f t="shared" si="4"/>
        <v>37275.250000000015</v>
      </c>
    </row>
    <row r="113" spans="3:7" x14ac:dyDescent="0.3">
      <c r="C113" s="1" t="s">
        <v>13</v>
      </c>
      <c r="D113" s="2">
        <v>1820</v>
      </c>
      <c r="E113" s="2">
        <f>F101*15</f>
        <v>1209</v>
      </c>
      <c r="F113" s="2"/>
      <c r="G113" s="2">
        <f t="shared" si="4"/>
        <v>611</v>
      </c>
    </row>
    <row r="114" spans="3:7" x14ac:dyDescent="0.3">
      <c r="C114" s="1" t="s">
        <v>14</v>
      </c>
      <c r="D114" s="2">
        <f>+D138</f>
        <v>38349.479999999996</v>
      </c>
      <c r="E114" s="2">
        <f>+D114</f>
        <v>38349.479999999996</v>
      </c>
      <c r="F114" s="2"/>
      <c r="G114" s="2">
        <f t="shared" si="4"/>
        <v>0</v>
      </c>
    </row>
    <row r="115" spans="3:7" x14ac:dyDescent="0.3">
      <c r="C115" s="1" t="s">
        <v>101</v>
      </c>
      <c r="D115" s="2">
        <f>SUM(D108:D111)*5%</f>
        <v>31804.850000000006</v>
      </c>
      <c r="E115" s="2">
        <f>+D115</f>
        <v>31804.850000000006</v>
      </c>
      <c r="F115" s="2"/>
      <c r="G115" s="2">
        <f t="shared" si="4"/>
        <v>0</v>
      </c>
    </row>
    <row r="116" spans="3:7" x14ac:dyDescent="0.3">
      <c r="C116" s="1" t="s">
        <v>15</v>
      </c>
      <c r="D116" s="2">
        <f>C101*15</f>
        <v>25410.000000000007</v>
      </c>
      <c r="E116" s="2">
        <f>D116</f>
        <v>25410.000000000007</v>
      </c>
      <c r="F116" s="2"/>
      <c r="G116" s="2">
        <f t="shared" si="4"/>
        <v>0</v>
      </c>
    </row>
    <row r="117" spans="3:7" x14ac:dyDescent="0.3">
      <c r="C117" s="1" t="s">
        <v>16</v>
      </c>
      <c r="D117" s="2">
        <f>F101*366*40%</f>
        <v>11799.84</v>
      </c>
      <c r="E117" s="2">
        <f>+D134-E116</f>
        <v>4089.5999999999913</v>
      </c>
      <c r="F117" s="2"/>
      <c r="G117" s="2">
        <f t="shared" si="4"/>
        <v>7710.2400000000089</v>
      </c>
    </row>
    <row r="118" spans="3:7" x14ac:dyDescent="0.3">
      <c r="C118" s="1" t="s">
        <v>178</v>
      </c>
      <c r="D118" s="2">
        <v>0</v>
      </c>
      <c r="E118" s="2">
        <f>D118</f>
        <v>0</v>
      </c>
      <c r="F118" s="2"/>
      <c r="G118" s="2">
        <f t="shared" si="4"/>
        <v>0</v>
      </c>
    </row>
    <row r="119" spans="3:7" x14ac:dyDescent="0.3">
      <c r="C119" s="1" t="s">
        <v>179</v>
      </c>
      <c r="D119" s="2"/>
      <c r="E119" s="2">
        <f>D119</f>
        <v>0</v>
      </c>
      <c r="F119" s="2"/>
      <c r="G119" s="2">
        <f t="shared" si="4"/>
        <v>0</v>
      </c>
    </row>
    <row r="120" spans="3:7" x14ac:dyDescent="0.3">
      <c r="C120" s="1" t="s">
        <v>18</v>
      </c>
      <c r="D120" s="2">
        <f>SUM(D108:D111)*5.2%</f>
        <v>33077.044000000009</v>
      </c>
      <c r="E120" s="2">
        <f>D120</f>
        <v>33077.044000000009</v>
      </c>
      <c r="F120" s="2"/>
      <c r="G120" s="2">
        <f t="shared" si="4"/>
        <v>0</v>
      </c>
    </row>
    <row r="121" spans="3:7" x14ac:dyDescent="0.3">
      <c r="C121" s="1" t="s">
        <v>19</v>
      </c>
      <c r="D121" s="2">
        <f>C101*60</f>
        <v>101640.00000000003</v>
      </c>
      <c r="E121" s="2"/>
      <c r="F121" s="2">
        <f>D121</f>
        <v>101640.00000000003</v>
      </c>
      <c r="G121" s="2">
        <f t="shared" si="4"/>
        <v>0</v>
      </c>
    </row>
    <row r="122" spans="3:7" x14ac:dyDescent="0.3">
      <c r="C122" s="1" t="s">
        <v>20</v>
      </c>
      <c r="D122" s="2">
        <f>+F101*265</f>
        <v>21359</v>
      </c>
      <c r="E122" s="2"/>
      <c r="F122" s="2">
        <f>D122</f>
        <v>21359</v>
      </c>
      <c r="G122" s="2">
        <f t="shared" si="4"/>
        <v>0</v>
      </c>
    </row>
    <row r="123" spans="3:7" x14ac:dyDescent="0.3">
      <c r="C123" s="1" t="s">
        <v>21</v>
      </c>
      <c r="D123" s="2">
        <v>4300</v>
      </c>
      <c r="E123" s="2">
        <v>2820</v>
      </c>
      <c r="F123" s="2">
        <f>+D123*0.2</f>
        <v>860</v>
      </c>
      <c r="G123" s="2">
        <f t="shared" si="4"/>
        <v>620</v>
      </c>
    </row>
    <row r="124" spans="3:7" x14ac:dyDescent="0.3">
      <c r="C124" s="1" t="s">
        <v>22</v>
      </c>
      <c r="D124" s="2">
        <f>SUM(D108:D111)*10%</f>
        <v>63609.700000000012</v>
      </c>
      <c r="E124" s="2">
        <f>F101*30-E109</f>
        <v>0</v>
      </c>
      <c r="F124" s="2"/>
      <c r="G124" s="2">
        <f t="shared" si="4"/>
        <v>63609.700000000012</v>
      </c>
    </row>
    <row r="125" spans="3:7" x14ac:dyDescent="0.3">
      <c r="C125" s="1" t="s">
        <v>130</v>
      </c>
      <c r="D125" s="2">
        <f>SUM(D108:D111)*10%</f>
        <v>63609.700000000012</v>
      </c>
      <c r="E125" s="2">
        <v>0</v>
      </c>
      <c r="F125" s="2"/>
      <c r="G125" s="2">
        <f>D125-E125-F125</f>
        <v>63609.700000000012</v>
      </c>
    </row>
    <row r="126" spans="3:7" x14ac:dyDescent="0.3">
      <c r="D126" s="2">
        <f>SUM(D108:D125)</f>
        <v>1091107.8640000001</v>
      </c>
      <c r="E126" s="2">
        <f>SUM(E108:E125)</f>
        <v>161342.97400000002</v>
      </c>
      <c r="F126" s="2">
        <f>SUM(F108:F125)</f>
        <v>123859.00000000003</v>
      </c>
      <c r="G126" s="2">
        <f>SUM(G108:G125)</f>
        <v>805905.89000000013</v>
      </c>
    </row>
    <row r="128" spans="3:7" x14ac:dyDescent="0.3">
      <c r="C128" s="1" t="s">
        <v>23</v>
      </c>
    </row>
    <row r="129" spans="3:5" x14ac:dyDescent="0.3">
      <c r="C129" s="1" t="s">
        <v>95</v>
      </c>
      <c r="E129" s="2">
        <f>F101*50</f>
        <v>4029.9999999999995</v>
      </c>
    </row>
    <row r="130" spans="3:5" x14ac:dyDescent="0.3">
      <c r="C130" s="1" t="s">
        <v>196</v>
      </c>
    </row>
    <row r="131" spans="3:5" x14ac:dyDescent="0.3">
      <c r="C131" s="1" t="s">
        <v>99</v>
      </c>
    </row>
    <row r="133" spans="3:5" x14ac:dyDescent="0.3">
      <c r="C133" s="1" t="s">
        <v>135</v>
      </c>
    </row>
    <row r="134" spans="3:5" x14ac:dyDescent="0.3">
      <c r="D134" s="2">
        <f>F101*366</f>
        <v>29499.599999999999</v>
      </c>
      <c r="E134" s="1" t="s">
        <v>87</v>
      </c>
    </row>
    <row r="135" spans="3:5" x14ac:dyDescent="0.3">
      <c r="C135" s="1" t="s">
        <v>196</v>
      </c>
      <c r="E135" s="1" t="s">
        <v>86</v>
      </c>
    </row>
    <row r="137" spans="3:5" x14ac:dyDescent="0.3">
      <c r="C137" s="1" t="s">
        <v>96</v>
      </c>
    </row>
    <row r="138" spans="3:5" x14ac:dyDescent="0.3">
      <c r="C138" s="1" t="s">
        <v>88</v>
      </c>
      <c r="D138" s="30">
        <f>F101*366*1.3</f>
        <v>38349.479999999996</v>
      </c>
      <c r="E138" s="1" t="s">
        <v>136</v>
      </c>
    </row>
    <row r="140" spans="3:5" x14ac:dyDescent="0.3">
      <c r="C140" s="1" t="s">
        <v>90</v>
      </c>
    </row>
    <row r="142" spans="3:5" x14ac:dyDescent="0.3">
      <c r="C142" s="1" t="s">
        <v>91</v>
      </c>
    </row>
    <row r="143" spans="3:5" x14ac:dyDescent="0.3">
      <c r="C143" s="1" t="s">
        <v>100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8"/>
  <sheetViews>
    <sheetView workbookViewId="0">
      <selection activeCell="C19" sqref="C19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6.85546875" style="1" customWidth="1"/>
    <col min="4" max="4" width="19.7109375" style="1" bestFit="1" customWidth="1"/>
    <col min="5" max="5" width="12" style="1" customWidth="1"/>
    <col min="6" max="6" width="13" style="1" customWidth="1"/>
    <col min="7" max="7" width="12.5703125" style="1" customWidth="1"/>
    <col min="8" max="16384" width="11.42578125" style="1"/>
  </cols>
  <sheetData>
    <row r="1" spans="2:7" x14ac:dyDescent="0.3">
      <c r="B1" s="1" t="s">
        <v>0</v>
      </c>
      <c r="C1" s="1" t="s">
        <v>105</v>
      </c>
      <c r="E1" s="1" t="s">
        <v>185</v>
      </c>
    </row>
    <row r="2" spans="2:7" x14ac:dyDescent="0.3">
      <c r="B2" s="1" t="s">
        <v>1</v>
      </c>
      <c r="C2" s="2">
        <f>+'Tab-2018'!I45</f>
        <v>1744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1991.5431693989071</v>
      </c>
      <c r="E3" s="1" t="s">
        <v>195</v>
      </c>
      <c r="F3" s="2">
        <f>+F2*25</f>
        <v>2014.9999999999998</v>
      </c>
    </row>
    <row r="4" spans="2:7" x14ac:dyDescent="0.3">
      <c r="B4" s="1" t="s">
        <v>92</v>
      </c>
      <c r="C4" s="1">
        <v>26</v>
      </c>
    </row>
    <row r="5" spans="2:7" x14ac:dyDescent="0.3">
      <c r="B5" s="1" t="s">
        <v>26</v>
      </c>
      <c r="C5" s="1">
        <v>4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585984</v>
      </c>
      <c r="E9" s="2"/>
      <c r="F9" s="2"/>
      <c r="G9" s="2">
        <f t="shared" ref="G9:G26" si="0">D9-E9-F9</f>
        <v>585984</v>
      </c>
    </row>
    <row r="10" spans="2:7" x14ac:dyDescent="0.3">
      <c r="C10" s="1" t="s">
        <v>9</v>
      </c>
      <c r="D10" s="2">
        <f>C2*30</f>
        <v>52320</v>
      </c>
      <c r="E10" s="2">
        <f>F2*30</f>
        <v>2418</v>
      </c>
      <c r="F10" s="2"/>
      <c r="G10" s="2">
        <f t="shared" si="0"/>
        <v>49902</v>
      </c>
    </row>
    <row r="11" spans="2:7" x14ac:dyDescent="0.3">
      <c r="C11" s="1" t="s">
        <v>10</v>
      </c>
      <c r="D11" s="2">
        <f>C2*15*0.25</f>
        <v>6540</v>
      </c>
      <c r="E11" s="2">
        <f>+F2*15</f>
        <v>1209</v>
      </c>
      <c r="F11" s="2"/>
      <c r="G11" s="2">
        <f t="shared" si="0"/>
        <v>5331</v>
      </c>
    </row>
    <row r="12" spans="2:7" x14ac:dyDescent="0.3">
      <c r="C12" s="1" t="s">
        <v>11</v>
      </c>
      <c r="D12" s="2">
        <f>C2*0.35*52</f>
        <v>31740.799999999999</v>
      </c>
      <c r="E12" s="2">
        <f>F2*52</f>
        <v>4191.2</v>
      </c>
      <c r="F12" s="2"/>
      <c r="G12" s="2">
        <f t="shared" si="0"/>
        <v>27549.599999999999</v>
      </c>
    </row>
    <row r="13" spans="2:7" x14ac:dyDescent="0.3">
      <c r="C13" s="1" t="s">
        <v>12</v>
      </c>
      <c r="D13" s="2">
        <f>(C2/8)*240</f>
        <v>52320</v>
      </c>
      <c r="E13" s="2">
        <f>+F2*5*52</f>
        <v>20956</v>
      </c>
      <c r="F13" s="2"/>
      <c r="G13" s="2">
        <f t="shared" si="0"/>
        <v>31364</v>
      </c>
    </row>
    <row r="14" spans="2:7" x14ac:dyDescent="0.3">
      <c r="C14" s="1" t="s">
        <v>13</v>
      </c>
      <c r="D14" s="2">
        <v>2500</v>
      </c>
      <c r="E14" s="2">
        <f>F2*15</f>
        <v>1209</v>
      </c>
      <c r="F14" s="2"/>
      <c r="G14" s="2">
        <f t="shared" si="0"/>
        <v>1291</v>
      </c>
    </row>
    <row r="15" spans="2:7" x14ac:dyDescent="0.3">
      <c r="C15" s="1" t="s">
        <v>14</v>
      </c>
      <c r="D15" s="2">
        <f>+D34</f>
        <v>38349.479999999996</v>
      </c>
      <c r="E15" s="2">
        <f>+D15</f>
        <v>38349.479999999996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33829.240000000005</v>
      </c>
      <c r="E16" s="2"/>
      <c r="F16" s="2"/>
      <c r="G16" s="2">
        <f t="shared" si="0"/>
        <v>33829.240000000005</v>
      </c>
    </row>
    <row r="17" spans="3:7" x14ac:dyDescent="0.3">
      <c r="C17" s="1" t="s">
        <v>15</v>
      </c>
      <c r="D17" s="2">
        <f>C2*11</f>
        <v>19184</v>
      </c>
      <c r="E17" s="2">
        <f>+D17</f>
        <v>19184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+D30-E17</f>
        <v>10315.599999999999</v>
      </c>
      <c r="F18" s="2"/>
      <c r="G18" s="2">
        <f t="shared" si="0"/>
        <v>1484.2400000000016</v>
      </c>
    </row>
    <row r="19" spans="3:7" x14ac:dyDescent="0.3">
      <c r="C19" s="1" t="s">
        <v>178</v>
      </c>
      <c r="D19" s="2"/>
      <c r="E19" s="2"/>
      <c r="F19" s="2"/>
      <c r="G19" s="2">
        <f t="shared" si="0"/>
        <v>0</v>
      </c>
    </row>
    <row r="20" spans="3:7" x14ac:dyDescent="0.3">
      <c r="C20" s="1" t="s">
        <v>179</v>
      </c>
      <c r="D20" s="2"/>
      <c r="E20" s="2"/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35182.409600000006</v>
      </c>
      <c r="E21" s="2">
        <f>D21</f>
        <v>35182.409600000006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104640</v>
      </c>
      <c r="E22" s="2"/>
      <c r="F22" s="2">
        <f>D22</f>
        <v>104640</v>
      </c>
      <c r="G22" s="2">
        <f t="shared" si="0"/>
        <v>0</v>
      </c>
    </row>
    <row r="23" spans="3:7" x14ac:dyDescent="0.3">
      <c r="C23" s="1" t="s">
        <v>20</v>
      </c>
      <c r="D23" s="2">
        <f>+F2*260</f>
        <v>20956</v>
      </c>
      <c r="E23" s="2"/>
      <c r="F23" s="2">
        <f>D23</f>
        <v>20956</v>
      </c>
      <c r="G23" s="2">
        <f t="shared" si="0"/>
        <v>0</v>
      </c>
    </row>
    <row r="24" spans="3:7" x14ac:dyDescent="0.3">
      <c r="C24" s="1" t="s">
        <v>21</v>
      </c>
      <c r="D24" s="2">
        <v>22800</v>
      </c>
      <c r="E24" s="2">
        <v>20650</v>
      </c>
      <c r="F24" s="2"/>
      <c r="G24" s="2">
        <f t="shared" si="0"/>
        <v>2150</v>
      </c>
    </row>
    <row r="25" spans="3:7" x14ac:dyDescent="0.3">
      <c r="C25" s="1" t="s">
        <v>22</v>
      </c>
      <c r="D25" s="2">
        <f>SUM(D9:D12)*10%</f>
        <v>67658.48000000001</v>
      </c>
      <c r="E25" s="2">
        <f>F2*30-E10</f>
        <v>0</v>
      </c>
      <c r="F25" s="2"/>
      <c r="G25" s="2">
        <f t="shared" si="0"/>
        <v>67658.48000000001</v>
      </c>
    </row>
    <row r="26" spans="3:7" x14ac:dyDescent="0.3">
      <c r="C26" s="1" t="s">
        <v>130</v>
      </c>
      <c r="D26" s="2">
        <f>SUM(D9:D12)*10%</f>
        <v>67658.48000000001</v>
      </c>
      <c r="E26" s="2">
        <v>0</v>
      </c>
      <c r="F26" s="2"/>
      <c r="G26" s="2">
        <f t="shared" si="0"/>
        <v>67658.48000000001</v>
      </c>
    </row>
    <row r="27" spans="3:7" x14ac:dyDescent="0.3">
      <c r="D27" s="2">
        <f>SUM(D9:D26)</f>
        <v>1153462.7296</v>
      </c>
      <c r="E27" s="2">
        <f>SUM(E9:E26)</f>
        <v>153664.68960000001</v>
      </c>
      <c r="F27" s="2">
        <f>SUM(F9:F26)</f>
        <v>125596</v>
      </c>
      <c r="G27" s="2">
        <f>SUM(G9:G26)</f>
        <v>874202.03999999992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105</v>
      </c>
      <c r="E40" s="1" t="s">
        <v>185</v>
      </c>
    </row>
    <row r="41" spans="2:7" x14ac:dyDescent="0.3">
      <c r="B41" s="1" t="s">
        <v>1</v>
      </c>
      <c r="C41" s="2">
        <f>+C2*1.0088</f>
        <v>1759.3471999999999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+F42</f>
        <v>1826.0000000000002</v>
      </c>
      <c r="E42" s="1" t="s">
        <v>138</v>
      </c>
      <c r="F42" s="2">
        <f>+F41*25</f>
        <v>1826.0000000000002</v>
      </c>
    </row>
    <row r="43" spans="2:7" x14ac:dyDescent="0.3">
      <c r="B43" s="1" t="s">
        <v>92</v>
      </c>
      <c r="C43" s="1">
        <v>26</v>
      </c>
    </row>
    <row r="44" spans="2:7" x14ac:dyDescent="0.3">
      <c r="B44" s="1" t="s">
        <v>26</v>
      </c>
      <c r="C44" s="1">
        <v>4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(C41*366)-((C43+C44)*C41)</f>
        <v>591140.65919999999</v>
      </c>
      <c r="E48" s="2"/>
      <c r="F48" s="2"/>
      <c r="G48" s="2">
        <f t="shared" ref="G48:G65" si="1">D48-E48-F48</f>
        <v>591140.65919999999</v>
      </c>
    </row>
    <row r="49" spans="3:7" x14ac:dyDescent="0.3">
      <c r="C49" s="1" t="s">
        <v>9</v>
      </c>
      <c r="D49" s="2">
        <f>C41*30</f>
        <v>52780.415999999997</v>
      </c>
      <c r="E49" s="2">
        <f>F41*30</f>
        <v>2191.2000000000003</v>
      </c>
      <c r="F49" s="2"/>
      <c r="G49" s="2">
        <f t="shared" si="1"/>
        <v>50589.216</v>
      </c>
    </row>
    <row r="50" spans="3:7" x14ac:dyDescent="0.3">
      <c r="C50" s="1" t="s">
        <v>10</v>
      </c>
      <c r="D50" s="2">
        <f>C41*15*0.25</f>
        <v>6597.5519999999997</v>
      </c>
      <c r="E50" s="2">
        <f>+F41*15</f>
        <v>1095.6000000000001</v>
      </c>
      <c r="F50" s="2"/>
      <c r="G50" s="2">
        <f t="shared" si="1"/>
        <v>5501.9519999999993</v>
      </c>
    </row>
    <row r="51" spans="3:7" x14ac:dyDescent="0.3">
      <c r="C51" s="1" t="s">
        <v>11</v>
      </c>
      <c r="D51" s="2">
        <f>C41*0.35*52</f>
        <v>32020.119039999994</v>
      </c>
      <c r="E51" s="2">
        <f>F41*52</f>
        <v>3798.0800000000004</v>
      </c>
      <c r="F51" s="2"/>
      <c r="G51" s="2">
        <f t="shared" si="1"/>
        <v>28222.039039999992</v>
      </c>
    </row>
    <row r="52" spans="3:7" x14ac:dyDescent="0.3">
      <c r="C52" s="1" t="s">
        <v>12</v>
      </c>
      <c r="D52" s="2">
        <f>(C41/8)*240</f>
        <v>52780.415999999997</v>
      </c>
      <c r="E52" s="2">
        <f>+F41*5*52</f>
        <v>18990.400000000001</v>
      </c>
      <c r="F52" s="2"/>
      <c r="G52" s="2">
        <f t="shared" si="1"/>
        <v>33790.015999999996</v>
      </c>
    </row>
    <row r="53" spans="3:7" x14ac:dyDescent="0.3">
      <c r="C53" s="1" t="s">
        <v>13</v>
      </c>
      <c r="D53" s="2">
        <v>2500</v>
      </c>
      <c r="E53" s="2">
        <f>F41*15</f>
        <v>1095.6000000000001</v>
      </c>
      <c r="F53" s="2"/>
      <c r="G53" s="2">
        <f t="shared" si="1"/>
        <v>1404.3999999999999</v>
      </c>
    </row>
    <row r="54" spans="3:7" x14ac:dyDescent="0.3">
      <c r="C54" s="1" t="s">
        <v>14</v>
      </c>
      <c r="D54" s="2">
        <f>+D73</f>
        <v>34752.432000000008</v>
      </c>
      <c r="E54" s="2">
        <f>+D54</f>
        <v>34752.432000000008</v>
      </c>
      <c r="F54" s="2"/>
      <c r="G54" s="2">
        <f t="shared" si="1"/>
        <v>0</v>
      </c>
    </row>
    <row r="55" spans="3:7" x14ac:dyDescent="0.3">
      <c r="C55" s="1" t="s">
        <v>101</v>
      </c>
      <c r="D55" s="2">
        <f>SUM(D48:D51)*5%</f>
        <v>34126.937312000002</v>
      </c>
      <c r="E55" s="2"/>
      <c r="F55" s="2"/>
      <c r="G55" s="2">
        <f t="shared" si="1"/>
        <v>34126.937312000002</v>
      </c>
    </row>
    <row r="56" spans="3:7" x14ac:dyDescent="0.3">
      <c r="C56" s="1" t="s">
        <v>15</v>
      </c>
      <c r="D56" s="2">
        <f>C41*11</f>
        <v>19352.819199999998</v>
      </c>
      <c r="E56" s="2">
        <f>+D56</f>
        <v>19352.819199999998</v>
      </c>
      <c r="F56" s="2"/>
      <c r="G56" s="2">
        <f t="shared" si="1"/>
        <v>0</v>
      </c>
    </row>
    <row r="57" spans="3:7" x14ac:dyDescent="0.3">
      <c r="C57" s="1" t="s">
        <v>16</v>
      </c>
      <c r="D57" s="2">
        <f>F41*366*40%</f>
        <v>10693.056000000002</v>
      </c>
      <c r="E57" s="2">
        <f>+D69-E56</f>
        <v>7379.820800000005</v>
      </c>
      <c r="F57" s="2"/>
      <c r="G57" s="2">
        <f t="shared" si="1"/>
        <v>3313.2351999999973</v>
      </c>
    </row>
    <row r="58" spans="3:7" x14ac:dyDescent="0.3">
      <c r="C58" s="1" t="s">
        <v>178</v>
      </c>
      <c r="D58" s="2"/>
      <c r="E58" s="2"/>
      <c r="F58" s="2"/>
      <c r="G58" s="2">
        <f t="shared" si="1"/>
        <v>0</v>
      </c>
    </row>
    <row r="59" spans="3:7" x14ac:dyDescent="0.3">
      <c r="C59" s="1" t="s">
        <v>179</v>
      </c>
      <c r="D59" s="2"/>
      <c r="E59" s="2"/>
      <c r="F59" s="2"/>
      <c r="G59" s="2">
        <f t="shared" si="1"/>
        <v>0</v>
      </c>
    </row>
    <row r="60" spans="3:7" x14ac:dyDescent="0.3">
      <c r="C60" s="1" t="s">
        <v>18</v>
      </c>
      <c r="D60" s="2">
        <f>SUM(D48:D51)*5.2%</f>
        <v>35492.014804480001</v>
      </c>
      <c r="E60" s="2">
        <f>D60</f>
        <v>35492.014804480001</v>
      </c>
      <c r="F60" s="2"/>
      <c r="G60" s="2">
        <f t="shared" si="1"/>
        <v>0</v>
      </c>
    </row>
    <row r="61" spans="3:7" x14ac:dyDescent="0.3">
      <c r="C61" s="1" t="s">
        <v>19</v>
      </c>
      <c r="D61" s="2">
        <f>C41*60</f>
        <v>105560.83199999999</v>
      </c>
      <c r="E61" s="2"/>
      <c r="F61" s="2">
        <f>D61</f>
        <v>105560.83199999999</v>
      </c>
      <c r="G61" s="2">
        <f t="shared" si="1"/>
        <v>0</v>
      </c>
    </row>
    <row r="62" spans="3:7" x14ac:dyDescent="0.3">
      <c r="C62" s="1" t="s">
        <v>20</v>
      </c>
      <c r="D62" s="2">
        <f>+F41*260</f>
        <v>18990.400000000001</v>
      </c>
      <c r="E62" s="2"/>
      <c r="F62" s="2">
        <f>D62</f>
        <v>18990.400000000001</v>
      </c>
      <c r="G62" s="2">
        <f t="shared" si="1"/>
        <v>0</v>
      </c>
    </row>
    <row r="63" spans="3:7" x14ac:dyDescent="0.3">
      <c r="C63" s="1" t="s">
        <v>21</v>
      </c>
      <c r="D63" s="2">
        <v>22800</v>
      </c>
      <c r="E63" s="2">
        <v>20650</v>
      </c>
      <c r="F63" s="2"/>
      <c r="G63" s="2">
        <f t="shared" si="1"/>
        <v>2150</v>
      </c>
    </row>
    <row r="64" spans="3:7" x14ac:dyDescent="0.3">
      <c r="C64" s="1" t="s">
        <v>22</v>
      </c>
      <c r="D64" s="2">
        <f>SUM(D48:D51)*10%</f>
        <v>68253.874624000004</v>
      </c>
      <c r="E64" s="2">
        <f>F41*30-E49</f>
        <v>0</v>
      </c>
      <c r="F64" s="2"/>
      <c r="G64" s="2">
        <f t="shared" si="1"/>
        <v>68253.874624000004</v>
      </c>
    </row>
    <row r="65" spans="2:7" x14ac:dyDescent="0.3">
      <c r="C65" s="1" t="s">
        <v>130</v>
      </c>
      <c r="D65" s="2">
        <f>SUM(D48:D51)*10%</f>
        <v>68253.874624000004</v>
      </c>
      <c r="E65" s="2">
        <v>0</v>
      </c>
      <c r="F65" s="2"/>
      <c r="G65" s="2">
        <f t="shared" si="1"/>
        <v>68253.874624000004</v>
      </c>
    </row>
    <row r="66" spans="2:7" x14ac:dyDescent="0.3">
      <c r="D66" s="2">
        <f>SUM(D48:D65)</f>
        <v>1156095.4028044799</v>
      </c>
      <c r="E66" s="2">
        <f>SUM(E48:E65)</f>
        <v>144797.96680448001</v>
      </c>
      <c r="F66" s="2">
        <f>SUM(F48:F65)</f>
        <v>124551.23199999999</v>
      </c>
      <c r="G66" s="2">
        <f>SUM(G48:G65)</f>
        <v>886746.20400000003</v>
      </c>
    </row>
    <row r="68" spans="2:7" x14ac:dyDescent="0.3">
      <c r="C68" s="1" t="s">
        <v>135</v>
      </c>
    </row>
    <row r="69" spans="2:7" x14ac:dyDescent="0.3">
      <c r="D69" s="2">
        <f>F41*366</f>
        <v>26732.640000000003</v>
      </c>
      <c r="E69" s="1" t="s">
        <v>87</v>
      </c>
    </row>
    <row r="70" spans="2:7" x14ac:dyDescent="0.3">
      <c r="C70" s="1" t="s">
        <v>196</v>
      </c>
      <c r="E70" s="1" t="s">
        <v>86</v>
      </c>
    </row>
    <row r="72" spans="2:7" x14ac:dyDescent="0.3">
      <c r="C72" s="1" t="s">
        <v>96</v>
      </c>
    </row>
    <row r="73" spans="2:7" x14ac:dyDescent="0.3">
      <c r="C73" s="1" t="s">
        <v>88</v>
      </c>
      <c r="D73" s="30">
        <f>F41*366*1.3</f>
        <v>34752.432000000008</v>
      </c>
      <c r="E73" s="1" t="s">
        <v>136</v>
      </c>
    </row>
    <row r="75" spans="2:7" x14ac:dyDescent="0.3">
      <c r="C75" s="1" t="s">
        <v>90</v>
      </c>
    </row>
    <row r="77" spans="2:7" x14ac:dyDescent="0.3">
      <c r="C77" s="1" t="s">
        <v>91</v>
      </c>
    </row>
    <row r="78" spans="2:7" x14ac:dyDescent="0.3">
      <c r="C78" s="1" t="s">
        <v>100</v>
      </c>
    </row>
    <row r="80" spans="2:7" x14ac:dyDescent="0.3">
      <c r="B80" s="1" t="s">
        <v>0</v>
      </c>
      <c r="C80" s="1" t="s">
        <v>105</v>
      </c>
      <c r="E80" s="1" t="s">
        <v>185</v>
      </c>
    </row>
    <row r="81" spans="2:7" x14ac:dyDescent="0.3">
      <c r="B81" s="1" t="s">
        <v>1</v>
      </c>
      <c r="C81" s="2">
        <f>+C2</f>
        <v>1744</v>
      </c>
      <c r="E81" s="1" t="s">
        <v>194</v>
      </c>
      <c r="F81" s="33">
        <v>73.040000000000006</v>
      </c>
    </row>
    <row r="82" spans="2:7" x14ac:dyDescent="0.3">
      <c r="B82" s="1" t="s">
        <v>104</v>
      </c>
      <c r="C82" s="2">
        <f>+F82</f>
        <v>1826.0000000000002</v>
      </c>
      <c r="E82" s="1" t="s">
        <v>138</v>
      </c>
      <c r="F82" s="2">
        <f>+F81*25</f>
        <v>1826.0000000000002</v>
      </c>
    </row>
    <row r="83" spans="2:7" x14ac:dyDescent="0.3">
      <c r="B83" s="1" t="s">
        <v>92</v>
      </c>
      <c r="C83" s="1">
        <v>26</v>
      </c>
    </row>
    <row r="84" spans="2:7" x14ac:dyDescent="0.3">
      <c r="B84" s="1" t="s">
        <v>26</v>
      </c>
      <c r="C84" s="1">
        <v>4</v>
      </c>
    </row>
    <row r="86" spans="2:7" ht="16.5" x14ac:dyDescent="0.35"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8" spans="2:7" x14ac:dyDescent="0.3">
      <c r="C88" s="1" t="s">
        <v>8</v>
      </c>
      <c r="D88" s="2">
        <f>(C81*366)-((C83+C84)*C81)</f>
        <v>585984</v>
      </c>
      <c r="E88" s="2"/>
      <c r="F88" s="2"/>
      <c r="G88" s="2">
        <f t="shared" ref="G88:G105" si="2">D88-E88-F88</f>
        <v>585984</v>
      </c>
    </row>
    <row r="89" spans="2:7" x14ac:dyDescent="0.3">
      <c r="C89" s="1" t="s">
        <v>9</v>
      </c>
      <c r="D89" s="2">
        <f>C81*30</f>
        <v>52320</v>
      </c>
      <c r="E89" s="2">
        <f>F81*30</f>
        <v>2191.2000000000003</v>
      </c>
      <c r="F89" s="2"/>
      <c r="G89" s="2">
        <f t="shared" si="2"/>
        <v>50128.800000000003</v>
      </c>
    </row>
    <row r="90" spans="2:7" x14ac:dyDescent="0.3">
      <c r="C90" s="1" t="s">
        <v>10</v>
      </c>
      <c r="D90" s="2">
        <f>C81*15*0.25</f>
        <v>6540</v>
      </c>
      <c r="E90" s="2">
        <f>+F81*15</f>
        <v>1095.6000000000001</v>
      </c>
      <c r="F90" s="2"/>
      <c r="G90" s="2">
        <f t="shared" si="2"/>
        <v>5444.4</v>
      </c>
    </row>
    <row r="91" spans="2:7" x14ac:dyDescent="0.3">
      <c r="C91" s="1" t="s">
        <v>11</v>
      </c>
      <c r="D91" s="2">
        <f>C81*0.35*52</f>
        <v>31740.799999999999</v>
      </c>
      <c r="E91" s="2">
        <f>F81*52</f>
        <v>3798.0800000000004</v>
      </c>
      <c r="F91" s="2"/>
      <c r="G91" s="2">
        <f t="shared" si="2"/>
        <v>27942.719999999998</v>
      </c>
    </row>
    <row r="92" spans="2:7" x14ac:dyDescent="0.3">
      <c r="C92" s="1" t="s">
        <v>12</v>
      </c>
      <c r="D92" s="2">
        <f>(C81/8)*240</f>
        <v>52320</v>
      </c>
      <c r="E92" s="2">
        <f>+F81*5*52</f>
        <v>18990.400000000001</v>
      </c>
      <c r="F92" s="2"/>
      <c r="G92" s="2">
        <f t="shared" si="2"/>
        <v>33329.599999999999</v>
      </c>
    </row>
    <row r="93" spans="2:7" x14ac:dyDescent="0.3">
      <c r="C93" s="1" t="s">
        <v>13</v>
      </c>
      <c r="D93" s="2">
        <v>2500</v>
      </c>
      <c r="E93" s="2">
        <f>F81*15</f>
        <v>1095.6000000000001</v>
      </c>
      <c r="F93" s="2"/>
      <c r="G93" s="2">
        <f t="shared" si="2"/>
        <v>1404.3999999999999</v>
      </c>
    </row>
    <row r="94" spans="2:7" x14ac:dyDescent="0.3">
      <c r="C94" s="1" t="s">
        <v>14</v>
      </c>
      <c r="D94" s="2">
        <f>+D113</f>
        <v>34752.432000000008</v>
      </c>
      <c r="E94" s="2">
        <f>+D94</f>
        <v>34752.432000000008</v>
      </c>
      <c r="F94" s="2"/>
      <c r="G94" s="2">
        <f t="shared" si="2"/>
        <v>0</v>
      </c>
    </row>
    <row r="95" spans="2:7" x14ac:dyDescent="0.3">
      <c r="C95" s="1" t="s">
        <v>101</v>
      </c>
      <c r="D95" s="2">
        <f>SUM(D88:D91)*5%</f>
        <v>33829.240000000005</v>
      </c>
      <c r="E95" s="2"/>
      <c r="F95" s="2"/>
      <c r="G95" s="2">
        <f t="shared" si="2"/>
        <v>33829.240000000005</v>
      </c>
    </row>
    <row r="96" spans="2:7" x14ac:dyDescent="0.3">
      <c r="C96" s="1" t="s">
        <v>15</v>
      </c>
      <c r="D96" s="2">
        <f>C81*11</f>
        <v>19184</v>
      </c>
      <c r="E96" s="2">
        <f>+D96</f>
        <v>19184</v>
      </c>
      <c r="F96" s="2"/>
      <c r="G96" s="2">
        <f t="shared" si="2"/>
        <v>0</v>
      </c>
    </row>
    <row r="97" spans="3:7" x14ac:dyDescent="0.3">
      <c r="C97" s="1" t="s">
        <v>16</v>
      </c>
      <c r="D97" s="2">
        <f>F81*366*40%</f>
        <v>10693.056000000002</v>
      </c>
      <c r="E97" s="2">
        <f>+D109-E96</f>
        <v>7548.6400000000031</v>
      </c>
      <c r="F97" s="2"/>
      <c r="G97" s="2">
        <f t="shared" si="2"/>
        <v>3144.4159999999993</v>
      </c>
    </row>
    <row r="98" spans="3:7" x14ac:dyDescent="0.3">
      <c r="C98" s="1" t="s">
        <v>178</v>
      </c>
      <c r="D98" s="2"/>
      <c r="E98" s="2"/>
      <c r="F98" s="2"/>
      <c r="G98" s="2">
        <f t="shared" si="2"/>
        <v>0</v>
      </c>
    </row>
    <row r="99" spans="3:7" x14ac:dyDescent="0.3">
      <c r="C99" s="1" t="s">
        <v>179</v>
      </c>
      <c r="D99" s="2"/>
      <c r="E99" s="2"/>
      <c r="F99" s="2"/>
      <c r="G99" s="2">
        <f t="shared" si="2"/>
        <v>0</v>
      </c>
    </row>
    <row r="100" spans="3:7" x14ac:dyDescent="0.3">
      <c r="C100" s="1" t="s">
        <v>18</v>
      </c>
      <c r="D100" s="2">
        <f>SUM(D88:D91)*5.2%</f>
        <v>35182.409600000006</v>
      </c>
      <c r="E100" s="2">
        <f>D100</f>
        <v>35182.409600000006</v>
      </c>
      <c r="F100" s="2"/>
      <c r="G100" s="2">
        <f t="shared" si="2"/>
        <v>0</v>
      </c>
    </row>
    <row r="101" spans="3:7" x14ac:dyDescent="0.3">
      <c r="C101" s="1" t="s">
        <v>19</v>
      </c>
      <c r="D101" s="2">
        <f>C81*60</f>
        <v>104640</v>
      </c>
      <c r="E101" s="2"/>
      <c r="F101" s="2">
        <f>D101</f>
        <v>104640</v>
      </c>
      <c r="G101" s="2">
        <f t="shared" si="2"/>
        <v>0</v>
      </c>
    </row>
    <row r="102" spans="3:7" x14ac:dyDescent="0.3">
      <c r="C102" s="1" t="s">
        <v>20</v>
      </c>
      <c r="D102" s="2">
        <f>+F81*260</f>
        <v>18990.400000000001</v>
      </c>
      <c r="E102" s="2"/>
      <c r="F102" s="2">
        <f>D102</f>
        <v>18990.400000000001</v>
      </c>
      <c r="G102" s="2">
        <f t="shared" si="2"/>
        <v>0</v>
      </c>
    </row>
    <row r="103" spans="3:7" x14ac:dyDescent="0.3">
      <c r="C103" s="1" t="s">
        <v>21</v>
      </c>
      <c r="D103" s="2">
        <v>22800</v>
      </c>
      <c r="E103" s="2">
        <v>20650</v>
      </c>
      <c r="F103" s="2"/>
      <c r="G103" s="2">
        <f t="shared" si="2"/>
        <v>2150</v>
      </c>
    </row>
    <row r="104" spans="3:7" x14ac:dyDescent="0.3">
      <c r="C104" s="1" t="s">
        <v>22</v>
      </c>
      <c r="D104" s="2">
        <f>SUM(D88:D91)*10%</f>
        <v>67658.48000000001</v>
      </c>
      <c r="E104" s="2">
        <f>F81*30-E89</f>
        <v>0</v>
      </c>
      <c r="F104" s="2"/>
      <c r="G104" s="2">
        <f t="shared" si="2"/>
        <v>67658.48000000001</v>
      </c>
    </row>
    <row r="105" spans="3:7" x14ac:dyDescent="0.3">
      <c r="C105" s="1" t="s">
        <v>130</v>
      </c>
      <c r="D105" s="2">
        <f>SUM(D88:D91)*10%</f>
        <v>67658.48000000001</v>
      </c>
      <c r="E105" s="2">
        <v>0</v>
      </c>
      <c r="F105" s="2"/>
      <c r="G105" s="2">
        <f t="shared" si="2"/>
        <v>67658.48000000001</v>
      </c>
    </row>
    <row r="106" spans="3:7" x14ac:dyDescent="0.3">
      <c r="D106" s="2">
        <f>SUM(D88:D105)</f>
        <v>1146793.2976000002</v>
      </c>
      <c r="E106" s="2">
        <f>SUM(E88:E105)</f>
        <v>144488.3616</v>
      </c>
      <c r="F106" s="2">
        <f>SUM(F88:F105)</f>
        <v>123630.39999999999</v>
      </c>
      <c r="G106" s="2">
        <f>SUM(G88:G105)</f>
        <v>878674.53599999996</v>
      </c>
    </row>
    <row r="108" spans="3:7" x14ac:dyDescent="0.3">
      <c r="C108" s="1" t="s">
        <v>135</v>
      </c>
    </row>
    <row r="109" spans="3:7" x14ac:dyDescent="0.3">
      <c r="D109" s="2">
        <f>F81*366</f>
        <v>26732.640000000003</v>
      </c>
      <c r="E109" s="1" t="s">
        <v>87</v>
      </c>
    </row>
    <row r="110" spans="3:7" x14ac:dyDescent="0.3">
      <c r="C110" s="1" t="s">
        <v>196</v>
      </c>
      <c r="E110" s="1" t="s">
        <v>86</v>
      </c>
    </row>
    <row r="112" spans="3:7" x14ac:dyDescent="0.3">
      <c r="C112" s="1" t="s">
        <v>96</v>
      </c>
    </row>
    <row r="113" spans="3:5" x14ac:dyDescent="0.3">
      <c r="C113" s="1" t="s">
        <v>88</v>
      </c>
      <c r="D113" s="30">
        <f>F81*366*1.3</f>
        <v>34752.432000000008</v>
      </c>
      <c r="E113" s="1" t="s">
        <v>136</v>
      </c>
    </row>
    <row r="115" spans="3:5" x14ac:dyDescent="0.3">
      <c r="C115" s="1" t="s">
        <v>90</v>
      </c>
    </row>
    <row r="117" spans="3:5" x14ac:dyDescent="0.3">
      <c r="C117" s="1" t="s">
        <v>91</v>
      </c>
    </row>
    <row r="118" spans="3:5" x14ac:dyDescent="0.3">
      <c r="C118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9"/>
  <sheetViews>
    <sheetView topLeftCell="A48" workbookViewId="0">
      <selection activeCell="B70" sqref="B70"/>
    </sheetView>
  </sheetViews>
  <sheetFormatPr defaultColWidth="11.42578125" defaultRowHeight="15" x14ac:dyDescent="0.3"/>
  <cols>
    <col min="1" max="1" width="11.42578125" style="1"/>
    <col min="2" max="2" width="25" style="1" customWidth="1"/>
    <col min="3" max="3" width="15.7109375" style="1" bestFit="1" customWidth="1"/>
    <col min="4" max="6" width="11.5703125" style="1" bestFit="1" customWidth="1"/>
    <col min="7" max="7" width="11.5703125" style="1" customWidth="1"/>
    <col min="8" max="16384" width="11.42578125" style="1"/>
  </cols>
  <sheetData>
    <row r="1" spans="1:6" x14ac:dyDescent="0.3">
      <c r="A1" s="1" t="s">
        <v>0</v>
      </c>
      <c r="B1" s="1" t="s">
        <v>24</v>
      </c>
      <c r="C1" s="62" t="s">
        <v>164</v>
      </c>
    </row>
    <row r="2" spans="1:6" x14ac:dyDescent="0.3">
      <c r="A2" s="1" t="s">
        <v>1</v>
      </c>
      <c r="B2" s="2">
        <f>+'Tab-2018'!I3</f>
        <v>95</v>
      </c>
      <c r="D2" s="1" t="s">
        <v>194</v>
      </c>
      <c r="E2" s="33">
        <f>+Eleuterio!F2</f>
        <v>80.599999999999994</v>
      </c>
    </row>
    <row r="3" spans="1:6" x14ac:dyDescent="0.3">
      <c r="A3" s="1" t="s">
        <v>104</v>
      </c>
      <c r="B3" s="2">
        <f>((B2*366+C9+C10+C11+C18+C19)/366)+17.69</f>
        <v>135.07387978142077</v>
      </c>
      <c r="C3" s="1" t="s">
        <v>85</v>
      </c>
    </row>
    <row r="4" spans="1:6" x14ac:dyDescent="0.3">
      <c r="A4" s="1" t="s">
        <v>2</v>
      </c>
    </row>
    <row r="6" spans="1:6" ht="16.5" x14ac:dyDescent="0.35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8" spans="1:6" x14ac:dyDescent="0.3">
      <c r="B8" s="1" t="s">
        <v>8</v>
      </c>
      <c r="C8" s="2">
        <f>(B2*366)-(B4*B2)</f>
        <v>34770</v>
      </c>
      <c r="D8" s="2"/>
      <c r="E8" s="2"/>
      <c r="F8" s="2">
        <f>C8-D8-E8</f>
        <v>34770</v>
      </c>
    </row>
    <row r="9" spans="1:6" x14ac:dyDescent="0.3">
      <c r="B9" s="1" t="s">
        <v>9</v>
      </c>
      <c r="C9" s="2">
        <f>B2*30</f>
        <v>2850</v>
      </c>
      <c r="D9" s="2">
        <f>E2*30</f>
        <v>2418</v>
      </c>
      <c r="E9" s="2"/>
      <c r="F9" s="2">
        <f t="shared" ref="F9:F24" si="0">C9-D9-E9</f>
        <v>432</v>
      </c>
    </row>
    <row r="10" spans="1:6" x14ac:dyDescent="0.3">
      <c r="B10" s="1" t="s">
        <v>10</v>
      </c>
      <c r="C10" s="2">
        <f>B2*6*0.25</f>
        <v>142.5</v>
      </c>
      <c r="D10" s="2">
        <f>C10</f>
        <v>142.5</v>
      </c>
      <c r="E10" s="2"/>
      <c r="F10" s="2">
        <f>C10-D10-E10</f>
        <v>0</v>
      </c>
    </row>
    <row r="11" spans="1:6" x14ac:dyDescent="0.3">
      <c r="B11" s="1" t="s">
        <v>11</v>
      </c>
      <c r="C11" s="2">
        <f>100*52</f>
        <v>5200</v>
      </c>
      <c r="D11" s="2">
        <f>E2*50</f>
        <v>4029.9999999999995</v>
      </c>
      <c r="E11" s="2"/>
      <c r="F11" s="2">
        <f t="shared" si="0"/>
        <v>1170.0000000000005</v>
      </c>
    </row>
    <row r="12" spans="1:6" x14ac:dyDescent="0.3">
      <c r="B12" s="1" t="s">
        <v>12</v>
      </c>
      <c r="C12" s="2">
        <f>(B2/8)*270</f>
        <v>3206.25</v>
      </c>
      <c r="D12" s="2">
        <f>C12*50%</f>
        <v>1603.125</v>
      </c>
      <c r="E12" s="2"/>
      <c r="F12" s="2">
        <f t="shared" si="0"/>
        <v>1603.125</v>
      </c>
    </row>
    <row r="13" spans="1:6" x14ac:dyDescent="0.3">
      <c r="B13" s="1" t="s">
        <v>13</v>
      </c>
      <c r="C13" s="2">
        <v>2845</v>
      </c>
      <c r="D13" s="2">
        <f>E2*15</f>
        <v>1209</v>
      </c>
      <c r="E13" s="2"/>
      <c r="F13" s="2">
        <f t="shared" si="0"/>
        <v>1636</v>
      </c>
    </row>
    <row r="14" spans="1:6" x14ac:dyDescent="0.3">
      <c r="B14" s="1" t="s">
        <v>14</v>
      </c>
      <c r="C14" s="2">
        <f>SUM(C8:C11)*13%</f>
        <v>5585.125</v>
      </c>
      <c r="D14" s="2">
        <f>SUM(C8:C11)*13%</f>
        <v>5585.125</v>
      </c>
      <c r="E14" s="2"/>
      <c r="F14" s="2">
        <f t="shared" si="0"/>
        <v>0</v>
      </c>
    </row>
    <row r="15" spans="1:6" x14ac:dyDescent="0.3">
      <c r="B15" s="1" t="s">
        <v>15</v>
      </c>
      <c r="C15" s="2">
        <f>B2*60</f>
        <v>5700</v>
      </c>
      <c r="D15" s="2">
        <f>C15</f>
        <v>5700</v>
      </c>
      <c r="E15" s="2"/>
      <c r="F15" s="2">
        <f t="shared" si="0"/>
        <v>0</v>
      </c>
    </row>
    <row r="16" spans="1:6" x14ac:dyDescent="0.3">
      <c r="B16" s="1" t="s">
        <v>16</v>
      </c>
      <c r="C16" s="2">
        <f>E2*366*40%</f>
        <v>11799.84</v>
      </c>
      <c r="D16" s="2">
        <f>C16</f>
        <v>11799.84</v>
      </c>
      <c r="E16" s="2"/>
      <c r="F16" s="2">
        <f t="shared" si="0"/>
        <v>0</v>
      </c>
    </row>
    <row r="17" spans="2:6" x14ac:dyDescent="0.3">
      <c r="B17" s="1" t="s">
        <v>101</v>
      </c>
      <c r="C17" s="2">
        <f>SUM(C8:C11)*5%</f>
        <v>2148.125</v>
      </c>
      <c r="D17" s="2"/>
      <c r="E17" s="2"/>
      <c r="F17" s="2">
        <f t="shared" si="0"/>
        <v>2148.125</v>
      </c>
    </row>
    <row r="18" spans="2:6" x14ac:dyDescent="0.3">
      <c r="B18" s="1" t="s">
        <v>178</v>
      </c>
      <c r="C18" s="2">
        <f>+'Tab-2018'!U43</f>
        <v>0</v>
      </c>
      <c r="D18" s="2"/>
      <c r="E18" s="2"/>
      <c r="F18" s="2">
        <f t="shared" si="0"/>
        <v>0</v>
      </c>
    </row>
    <row r="19" spans="2:6" x14ac:dyDescent="0.3">
      <c r="B19" s="1" t="s">
        <v>179</v>
      </c>
      <c r="C19" s="2">
        <f>+'Tab-2018'!V43</f>
        <v>0</v>
      </c>
      <c r="D19" s="2"/>
      <c r="E19" s="2"/>
      <c r="F19" s="2">
        <f t="shared" si="0"/>
        <v>0</v>
      </c>
    </row>
    <row r="20" spans="2:6" x14ac:dyDescent="0.3">
      <c r="B20" s="1" t="s">
        <v>18</v>
      </c>
      <c r="C20" s="2">
        <f>SUM(C8:C11)*5.2%</f>
        <v>2234.0500000000002</v>
      </c>
      <c r="D20" s="2">
        <f>C20</f>
        <v>2234.0500000000002</v>
      </c>
      <c r="E20" s="2"/>
      <c r="F20" s="2">
        <f t="shared" si="0"/>
        <v>0</v>
      </c>
    </row>
    <row r="21" spans="2:6" x14ac:dyDescent="0.3">
      <c r="B21" s="1" t="s">
        <v>19</v>
      </c>
      <c r="C21" s="2">
        <f>B2*60</f>
        <v>5700</v>
      </c>
      <c r="D21" s="2"/>
      <c r="E21" s="2">
        <f>C21</f>
        <v>5700</v>
      </c>
      <c r="F21" s="2">
        <f t="shared" si="0"/>
        <v>0</v>
      </c>
    </row>
    <row r="22" spans="2:6" x14ac:dyDescent="0.3">
      <c r="B22" s="1" t="s">
        <v>20</v>
      </c>
      <c r="C22" s="2">
        <f>+E2*245</f>
        <v>19747</v>
      </c>
      <c r="D22" s="2"/>
      <c r="E22" s="2">
        <f>C22</f>
        <v>19747</v>
      </c>
      <c r="F22" s="2">
        <f t="shared" si="0"/>
        <v>0</v>
      </c>
    </row>
    <row r="23" spans="2:6" x14ac:dyDescent="0.3">
      <c r="B23" s="1" t="s">
        <v>21</v>
      </c>
      <c r="C23" s="2">
        <v>1245</v>
      </c>
      <c r="D23" s="2">
        <v>640</v>
      </c>
      <c r="E23" s="2"/>
      <c r="F23" s="2">
        <f t="shared" si="0"/>
        <v>605</v>
      </c>
    </row>
    <row r="24" spans="2:6" x14ac:dyDescent="0.3">
      <c r="B24" s="1" t="s">
        <v>22</v>
      </c>
      <c r="C24" s="2">
        <f>SUM(C8:C11)*10%</f>
        <v>4296.25</v>
      </c>
      <c r="D24" s="2">
        <f>E2*30-D9</f>
        <v>0</v>
      </c>
      <c r="E24" s="2"/>
      <c r="F24" s="2">
        <f t="shared" si="0"/>
        <v>4296.25</v>
      </c>
    </row>
    <row r="25" spans="2:6" x14ac:dyDescent="0.3">
      <c r="B25" s="1" t="s">
        <v>130</v>
      </c>
      <c r="C25" s="2">
        <f>SUM(C8:C11)*10%</f>
        <v>4296.25</v>
      </c>
      <c r="D25" s="2"/>
      <c r="E25" s="2"/>
      <c r="F25" s="2">
        <f>C25-D25-E25</f>
        <v>4296.25</v>
      </c>
    </row>
    <row r="26" spans="2:6" x14ac:dyDescent="0.3">
      <c r="C26" s="2">
        <f>SUM(C8:C25)</f>
        <v>111765.39</v>
      </c>
      <c r="D26" s="2">
        <f>SUM(D8:D25)</f>
        <v>35361.64</v>
      </c>
      <c r="E26" s="2">
        <f>SUM(E8:E25)</f>
        <v>25447</v>
      </c>
      <c r="F26" s="2">
        <f>SUM(F8:F25)</f>
        <v>50956.75</v>
      </c>
    </row>
    <row r="28" spans="2:6" x14ac:dyDescent="0.3">
      <c r="B28" s="1" t="s">
        <v>23</v>
      </c>
    </row>
    <row r="29" spans="2:6" x14ac:dyDescent="0.3">
      <c r="B29" s="1" t="s">
        <v>95</v>
      </c>
      <c r="D29" s="2">
        <f>E2*50</f>
        <v>4029.9999999999995</v>
      </c>
    </row>
    <row r="30" spans="2:6" x14ac:dyDescent="0.3">
      <c r="B30" s="1" t="s">
        <v>196</v>
      </c>
    </row>
    <row r="31" spans="2:6" x14ac:dyDescent="0.3">
      <c r="B31" s="1" t="s">
        <v>85</v>
      </c>
    </row>
    <row r="40" spans="1:6" x14ac:dyDescent="0.3">
      <c r="A40" s="1" t="s">
        <v>0</v>
      </c>
      <c r="B40" s="1" t="s">
        <v>24</v>
      </c>
      <c r="C40" s="62" t="s">
        <v>164</v>
      </c>
    </row>
    <row r="41" spans="1:6" x14ac:dyDescent="0.3">
      <c r="A41" s="1" t="s">
        <v>1</v>
      </c>
      <c r="B41" s="2">
        <f>+'Tab-2018'!I11</f>
        <v>96</v>
      </c>
      <c r="D41" s="1" t="s">
        <v>194</v>
      </c>
      <c r="E41" s="33">
        <f>+Eleuterio!F41</f>
        <v>73.040000000000006</v>
      </c>
    </row>
    <row r="42" spans="1:6" x14ac:dyDescent="0.3">
      <c r="A42" s="1" t="s">
        <v>104</v>
      </c>
      <c r="B42" s="2">
        <f>((B41*366+C48+C49+C50+C57+C58)/366)+17.69</f>
        <v>136.15994535519127</v>
      </c>
      <c r="C42" s="1" t="s">
        <v>85</v>
      </c>
    </row>
    <row r="43" spans="1:6" x14ac:dyDescent="0.3">
      <c r="A43" s="1" t="s">
        <v>2</v>
      </c>
    </row>
    <row r="45" spans="1:6" ht="16.5" x14ac:dyDescent="0.35">
      <c r="B45" s="4" t="s">
        <v>3</v>
      </c>
      <c r="C45" s="4" t="s">
        <v>4</v>
      </c>
      <c r="D45" s="4" t="s">
        <v>5</v>
      </c>
      <c r="E45" s="4" t="s">
        <v>6</v>
      </c>
      <c r="F45" s="4" t="s">
        <v>7</v>
      </c>
    </row>
    <row r="47" spans="1:6" x14ac:dyDescent="0.3">
      <c r="B47" s="1" t="s">
        <v>8</v>
      </c>
      <c r="C47" s="2">
        <f>(B41*366)-(B43*B41)</f>
        <v>35136</v>
      </c>
      <c r="D47" s="2"/>
      <c r="E47" s="2"/>
      <c r="F47" s="2">
        <f>C47-D47-E47</f>
        <v>35136</v>
      </c>
    </row>
    <row r="48" spans="1:6" x14ac:dyDescent="0.3">
      <c r="B48" s="1" t="s">
        <v>9</v>
      </c>
      <c r="C48" s="2">
        <f>B41*30</f>
        <v>2880</v>
      </c>
      <c r="D48" s="2">
        <f>E41*30</f>
        <v>2191.2000000000003</v>
      </c>
      <c r="E48" s="2"/>
      <c r="F48" s="2">
        <f t="shared" ref="F48" si="1">C48-D48-E48</f>
        <v>688.79999999999973</v>
      </c>
    </row>
    <row r="49" spans="2:6" x14ac:dyDescent="0.3">
      <c r="B49" s="1" t="s">
        <v>10</v>
      </c>
      <c r="C49" s="2">
        <f>B41*6*0.25</f>
        <v>144</v>
      </c>
      <c r="D49" s="2">
        <f>C49</f>
        <v>144</v>
      </c>
      <c r="E49" s="2"/>
      <c r="F49" s="2">
        <f>C49-D49-E49</f>
        <v>0</v>
      </c>
    </row>
    <row r="50" spans="2:6" x14ac:dyDescent="0.3">
      <c r="B50" s="1" t="s">
        <v>11</v>
      </c>
      <c r="C50" s="2">
        <f>100*52</f>
        <v>5200</v>
      </c>
      <c r="D50" s="2">
        <f>E41*50</f>
        <v>3652.0000000000005</v>
      </c>
      <c r="E50" s="2"/>
      <c r="F50" s="2">
        <f t="shared" ref="F50:F63" si="2">C50-D50-E50</f>
        <v>1547.9999999999995</v>
      </c>
    </row>
    <row r="51" spans="2:6" x14ac:dyDescent="0.3">
      <c r="B51" s="1" t="s">
        <v>12</v>
      </c>
      <c r="C51" s="2">
        <f>(B41/8)*270</f>
        <v>3240</v>
      </c>
      <c r="D51" s="2">
        <f>C51*50%</f>
        <v>1620</v>
      </c>
      <c r="E51" s="2"/>
      <c r="F51" s="2">
        <f t="shared" si="2"/>
        <v>1620</v>
      </c>
    </row>
    <row r="52" spans="2:6" x14ac:dyDescent="0.3">
      <c r="B52" s="1" t="s">
        <v>13</v>
      </c>
      <c r="C52" s="2">
        <v>2845</v>
      </c>
      <c r="D52" s="2">
        <f>E41*15</f>
        <v>1095.6000000000001</v>
      </c>
      <c r="E52" s="2"/>
      <c r="F52" s="2">
        <f t="shared" si="2"/>
        <v>1749.3999999999999</v>
      </c>
    </row>
    <row r="53" spans="2:6" x14ac:dyDescent="0.3">
      <c r="B53" s="1" t="s">
        <v>14</v>
      </c>
      <c r="C53" s="2">
        <f>SUM(C47:C50)*13%</f>
        <v>5636.8</v>
      </c>
      <c r="D53" s="2">
        <f>SUM(C47:C50)*13%</f>
        <v>5636.8</v>
      </c>
      <c r="E53" s="2"/>
      <c r="F53" s="2">
        <f t="shared" si="2"/>
        <v>0</v>
      </c>
    </row>
    <row r="54" spans="2:6" x14ac:dyDescent="0.3">
      <c r="B54" s="1" t="s">
        <v>15</v>
      </c>
      <c r="C54" s="2">
        <f>B41*60</f>
        <v>5760</v>
      </c>
      <c r="D54" s="2">
        <f>C54</f>
        <v>5760</v>
      </c>
      <c r="E54" s="2"/>
      <c r="F54" s="2">
        <f t="shared" si="2"/>
        <v>0</v>
      </c>
    </row>
    <row r="55" spans="2:6" x14ac:dyDescent="0.3">
      <c r="B55" s="1" t="s">
        <v>16</v>
      </c>
      <c r="C55" s="2">
        <f>E41*366*40%</f>
        <v>10693.056000000002</v>
      </c>
      <c r="D55" s="2">
        <f>C55</f>
        <v>10693.056000000002</v>
      </c>
      <c r="E55" s="2"/>
      <c r="F55" s="2">
        <f t="shared" si="2"/>
        <v>0</v>
      </c>
    </row>
    <row r="56" spans="2:6" x14ac:dyDescent="0.3">
      <c r="B56" s="1" t="s">
        <v>101</v>
      </c>
      <c r="C56" s="2">
        <f>SUM(C47:C50)*5%</f>
        <v>2168</v>
      </c>
      <c r="D56" s="2"/>
      <c r="E56" s="2"/>
      <c r="F56" s="2">
        <f t="shared" si="2"/>
        <v>2168</v>
      </c>
    </row>
    <row r="57" spans="2:6" x14ac:dyDescent="0.3">
      <c r="B57" s="1" t="s">
        <v>178</v>
      </c>
      <c r="C57" s="2">
        <f>+'Tab-2018'!U82</f>
        <v>0</v>
      </c>
      <c r="D57" s="2"/>
      <c r="E57" s="2"/>
      <c r="F57" s="2">
        <f t="shared" si="2"/>
        <v>0</v>
      </c>
    </row>
    <row r="58" spans="2:6" x14ac:dyDescent="0.3">
      <c r="B58" s="1" t="s">
        <v>179</v>
      </c>
      <c r="C58" s="2">
        <f>+'Tab-2018'!V82</f>
        <v>0</v>
      </c>
      <c r="D58" s="2"/>
      <c r="E58" s="2"/>
      <c r="F58" s="2">
        <f t="shared" si="2"/>
        <v>0</v>
      </c>
    </row>
    <row r="59" spans="2:6" x14ac:dyDescent="0.3">
      <c r="B59" s="1" t="s">
        <v>18</v>
      </c>
      <c r="C59" s="2">
        <f>SUM(C47:C50)*5.2%</f>
        <v>2254.7200000000003</v>
      </c>
      <c r="D59" s="2">
        <f>C59</f>
        <v>2254.7200000000003</v>
      </c>
      <c r="E59" s="2"/>
      <c r="F59" s="2">
        <f t="shared" si="2"/>
        <v>0</v>
      </c>
    </row>
    <row r="60" spans="2:6" x14ac:dyDescent="0.3">
      <c r="B60" s="1" t="s">
        <v>19</v>
      </c>
      <c r="C60" s="2">
        <f>B41*60</f>
        <v>5760</v>
      </c>
      <c r="D60" s="2"/>
      <c r="E60" s="2">
        <f>C60</f>
        <v>5760</v>
      </c>
      <c r="F60" s="2">
        <f t="shared" si="2"/>
        <v>0</v>
      </c>
    </row>
    <row r="61" spans="2:6" x14ac:dyDescent="0.3">
      <c r="B61" s="1" t="s">
        <v>20</v>
      </c>
      <c r="C61" s="2">
        <f>+E41*245</f>
        <v>17894.800000000003</v>
      </c>
      <c r="D61" s="2"/>
      <c r="E61" s="2">
        <f>C61</f>
        <v>17894.800000000003</v>
      </c>
      <c r="F61" s="2">
        <f t="shared" si="2"/>
        <v>0</v>
      </c>
    </row>
    <row r="62" spans="2:6" x14ac:dyDescent="0.3">
      <c r="B62" s="1" t="s">
        <v>21</v>
      </c>
      <c r="C62" s="2">
        <v>1245</v>
      </c>
      <c r="D62" s="2">
        <v>640</v>
      </c>
      <c r="E62" s="2"/>
      <c r="F62" s="2">
        <f t="shared" si="2"/>
        <v>605</v>
      </c>
    </row>
    <row r="63" spans="2:6" x14ac:dyDescent="0.3">
      <c r="B63" s="1" t="s">
        <v>22</v>
      </c>
      <c r="C63" s="2">
        <f>SUM(C47:C50)*10%</f>
        <v>4336</v>
      </c>
      <c r="D63" s="2">
        <f>E41*30-D48</f>
        <v>0</v>
      </c>
      <c r="E63" s="2"/>
      <c r="F63" s="2">
        <f t="shared" si="2"/>
        <v>4336</v>
      </c>
    </row>
    <row r="64" spans="2:6" x14ac:dyDescent="0.3">
      <c r="B64" s="1" t="s">
        <v>130</v>
      </c>
      <c r="C64" s="2">
        <f>SUM(C47:C50)*10%</f>
        <v>4336</v>
      </c>
      <c r="D64" s="2"/>
      <c r="E64" s="2"/>
      <c r="F64" s="2">
        <f>C64-D64-E64</f>
        <v>4336</v>
      </c>
    </row>
    <row r="65" spans="2:6" x14ac:dyDescent="0.3">
      <c r="C65" s="2">
        <f>SUM(C47:C64)</f>
        <v>109529.376</v>
      </c>
      <c r="D65" s="2">
        <f>SUM(D47:D64)</f>
        <v>33687.376000000004</v>
      </c>
      <c r="E65" s="2">
        <f>SUM(E47:E64)</f>
        <v>23654.800000000003</v>
      </c>
      <c r="F65" s="2">
        <f>SUM(F47:F64)</f>
        <v>52187.200000000004</v>
      </c>
    </row>
    <row r="67" spans="2:6" x14ac:dyDescent="0.3">
      <c r="B67" s="1" t="s">
        <v>23</v>
      </c>
    </row>
    <row r="68" spans="2:6" x14ac:dyDescent="0.3">
      <c r="B68" s="1" t="s">
        <v>95</v>
      </c>
      <c r="D68" s="2">
        <f>E41*50</f>
        <v>3652.0000000000005</v>
      </c>
    </row>
    <row r="69" spans="2:6" x14ac:dyDescent="0.3">
      <c r="B69" s="1" t="s">
        <v>196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opLeftCell="A70" workbookViewId="0">
      <selection activeCell="C72" sqref="C72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4.28515625" style="1" customWidth="1"/>
    <col min="4" max="4" width="19.7109375" style="1" bestFit="1" customWidth="1"/>
    <col min="5" max="5" width="12.42578125" style="1" customWidth="1"/>
    <col min="6" max="6" width="12.5703125" style="1" customWidth="1"/>
    <col min="7" max="7" width="13.42578125" style="1" customWidth="1"/>
    <col min="8" max="16384" width="11.42578125" style="1"/>
  </cols>
  <sheetData>
    <row r="1" spans="2:7" x14ac:dyDescent="0.3">
      <c r="B1" s="1" t="s">
        <v>0</v>
      </c>
      <c r="C1" s="1" t="s">
        <v>106</v>
      </c>
      <c r="D1" s="89">
        <f>+'Tab-2018'!B49</f>
        <v>0</v>
      </c>
      <c r="E1" s="1" t="s">
        <v>185</v>
      </c>
    </row>
    <row r="2" spans="2:7" x14ac:dyDescent="0.3">
      <c r="B2" s="1" t="s">
        <v>1</v>
      </c>
      <c r="C2" s="2">
        <f>+'Tab-2018'!I46</f>
        <v>1750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+F3</f>
        <v>2014.9999999999998</v>
      </c>
      <c r="E3" s="1" t="s">
        <v>138</v>
      </c>
      <c r="F3" s="2">
        <f>+F2*25</f>
        <v>2014.9999999999998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640500</v>
      </c>
      <c r="E9" s="2"/>
      <c r="F9" s="2"/>
      <c r="G9" s="2">
        <f t="shared" ref="G9:G26" si="0">D9-E9-F9</f>
        <v>640500</v>
      </c>
    </row>
    <row r="10" spans="2:7" x14ac:dyDescent="0.3">
      <c r="C10" s="1" t="s">
        <v>9</v>
      </c>
      <c r="D10" s="2">
        <f>C2*30</f>
        <v>52500</v>
      </c>
      <c r="E10" s="2">
        <f>F2*30</f>
        <v>2418</v>
      </c>
      <c r="F10" s="2"/>
      <c r="G10" s="2">
        <f t="shared" si="0"/>
        <v>50082</v>
      </c>
    </row>
    <row r="11" spans="2:7" x14ac:dyDescent="0.3">
      <c r="C11" s="1" t="s">
        <v>10</v>
      </c>
      <c r="D11" s="2">
        <f>C2*14*0.25</f>
        <v>6125</v>
      </c>
      <c r="E11" s="2">
        <f>+F2*15</f>
        <v>1209</v>
      </c>
      <c r="F11" s="2"/>
      <c r="G11" s="2">
        <f t="shared" si="0"/>
        <v>4916</v>
      </c>
    </row>
    <row r="12" spans="2:7" x14ac:dyDescent="0.3">
      <c r="C12" s="1" t="s">
        <v>11</v>
      </c>
      <c r="D12" s="2"/>
      <c r="E12" s="2"/>
      <c r="F12" s="2"/>
      <c r="G12" s="2">
        <f t="shared" si="0"/>
        <v>0</v>
      </c>
    </row>
    <row r="13" spans="2:7" x14ac:dyDescent="0.3">
      <c r="C13" s="1" t="s">
        <v>12</v>
      </c>
      <c r="D13" s="2">
        <f>(C2/8)*200</f>
        <v>43750</v>
      </c>
      <c r="E13" s="2">
        <f>+F2*5*52</f>
        <v>20956</v>
      </c>
      <c r="F13" s="2"/>
      <c r="G13" s="2">
        <f t="shared" si="0"/>
        <v>22794</v>
      </c>
    </row>
    <row r="14" spans="2:7" x14ac:dyDescent="0.3">
      <c r="C14" s="1" t="s">
        <v>13</v>
      </c>
      <c r="D14" s="2">
        <v>2500</v>
      </c>
      <c r="E14" s="2">
        <f>F2*15</f>
        <v>1209</v>
      </c>
      <c r="F14" s="2"/>
      <c r="G14" s="2">
        <f t="shared" si="0"/>
        <v>1291</v>
      </c>
    </row>
    <row r="15" spans="2:7" x14ac:dyDescent="0.3">
      <c r="C15" s="1" t="s">
        <v>14</v>
      </c>
      <c r="D15" s="2">
        <f>+D34</f>
        <v>38349.479999999996</v>
      </c>
      <c r="E15" s="2">
        <f>+D15</f>
        <v>38349.479999999996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34956.25</v>
      </c>
      <c r="E16" s="2"/>
      <c r="F16" s="2"/>
      <c r="G16" s="2">
        <f t="shared" si="0"/>
        <v>34956.25</v>
      </c>
    </row>
    <row r="17" spans="3:7" x14ac:dyDescent="0.3">
      <c r="C17" s="1" t="s">
        <v>15</v>
      </c>
      <c r="D17" s="2">
        <f>C2*60</f>
        <v>105000</v>
      </c>
      <c r="E17" s="2">
        <f>+F2*365</f>
        <v>29418.999999999996</v>
      </c>
      <c r="F17" s="2"/>
      <c r="G17" s="2">
        <f t="shared" si="0"/>
        <v>75581</v>
      </c>
    </row>
    <row r="18" spans="3:7" x14ac:dyDescent="0.3">
      <c r="C18" s="1" t="s">
        <v>16</v>
      </c>
      <c r="D18" s="2">
        <f>F2*366*40%</f>
        <v>11799.84</v>
      </c>
      <c r="E18" s="2">
        <f>+D30-E17</f>
        <v>80.600000000002183</v>
      </c>
      <c r="F18" s="2"/>
      <c r="G18" s="2">
        <f t="shared" si="0"/>
        <v>11719.239999999998</v>
      </c>
    </row>
    <row r="19" spans="3:7" x14ac:dyDescent="0.3">
      <c r="C19" s="1" t="s">
        <v>178</v>
      </c>
      <c r="D19" s="2">
        <v>0</v>
      </c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C3*C4*100%</f>
        <v>0</v>
      </c>
      <c r="E20" s="2">
        <f>D20</f>
        <v>0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36354.5</v>
      </c>
      <c r="E21" s="2">
        <f>D21</f>
        <v>36354.5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105000</v>
      </c>
      <c r="E22" s="2"/>
      <c r="F22" s="2">
        <f>D22</f>
        <v>105000</v>
      </c>
      <c r="G22" s="2">
        <f t="shared" si="0"/>
        <v>0</v>
      </c>
    </row>
    <row r="23" spans="3:7" x14ac:dyDescent="0.3">
      <c r="C23" s="1" t="s">
        <v>20</v>
      </c>
      <c r="D23" s="2">
        <f>+F2*260</f>
        <v>20956</v>
      </c>
      <c r="E23" s="2"/>
      <c r="F23" s="2">
        <f>D23</f>
        <v>20956</v>
      </c>
      <c r="G23" s="2">
        <f t="shared" si="0"/>
        <v>0</v>
      </c>
    </row>
    <row r="24" spans="3:7" x14ac:dyDescent="0.3">
      <c r="C24" s="1" t="s">
        <v>21</v>
      </c>
      <c r="D24" s="2">
        <v>22800</v>
      </c>
      <c r="E24" s="2">
        <v>20650</v>
      </c>
      <c r="F24" s="2"/>
      <c r="G24" s="2">
        <f t="shared" si="0"/>
        <v>2150</v>
      </c>
    </row>
    <row r="25" spans="3:7" x14ac:dyDescent="0.3">
      <c r="C25" s="1" t="s">
        <v>22</v>
      </c>
      <c r="D25" s="2">
        <f>SUM(D9:D12)*10%</f>
        <v>69912.5</v>
      </c>
      <c r="E25" s="2">
        <f>F2*30-E10</f>
        <v>0</v>
      </c>
      <c r="F25" s="2"/>
      <c r="G25" s="2">
        <f t="shared" si="0"/>
        <v>69912.5</v>
      </c>
    </row>
    <row r="26" spans="3:7" x14ac:dyDescent="0.3">
      <c r="C26" s="1" t="s">
        <v>130</v>
      </c>
      <c r="D26" s="2">
        <f>SUM(D9:D12)*10%</f>
        <v>69912.5</v>
      </c>
      <c r="E26" s="2">
        <v>0</v>
      </c>
      <c r="F26" s="2"/>
      <c r="G26" s="2">
        <f t="shared" si="0"/>
        <v>69912.5</v>
      </c>
    </row>
    <row r="27" spans="3:7" x14ac:dyDescent="0.3">
      <c r="D27" s="2">
        <f>SUM(D9:D26)</f>
        <v>1260416.0699999998</v>
      </c>
      <c r="E27" s="2">
        <f>SUM(E9:E26)</f>
        <v>150645.58000000002</v>
      </c>
      <c r="F27" s="2">
        <f>SUM(F9:F26)</f>
        <v>125956</v>
      </c>
      <c r="G27" s="2">
        <f>SUM(G9:G26)</f>
        <v>983814.49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1" spans="2:7" x14ac:dyDescent="0.3">
      <c r="B41" s="1" t="s">
        <v>0</v>
      </c>
      <c r="C41" s="1" t="s">
        <v>106</v>
      </c>
      <c r="D41" s="89">
        <f>+'Tab-2018'!B89</f>
        <v>0</v>
      </c>
      <c r="E41" s="1" t="s">
        <v>185</v>
      </c>
    </row>
    <row r="42" spans="2:7" x14ac:dyDescent="0.3">
      <c r="B42" s="1" t="s">
        <v>1</v>
      </c>
      <c r="C42" s="2">
        <f>+'Tab-2018'!I47</f>
        <v>1800</v>
      </c>
      <c r="E42" s="1" t="s">
        <v>194</v>
      </c>
      <c r="F42" s="33">
        <f>+Eleuterio!F2</f>
        <v>80.599999999999994</v>
      </c>
    </row>
    <row r="43" spans="2:7" x14ac:dyDescent="0.3">
      <c r="B43" s="1" t="s">
        <v>104</v>
      </c>
      <c r="C43" s="2">
        <f>+F43</f>
        <v>2014.9999999999998</v>
      </c>
      <c r="E43" s="1" t="s">
        <v>138</v>
      </c>
      <c r="F43" s="2">
        <f>+F42*25</f>
        <v>2014.9999999999998</v>
      </c>
    </row>
    <row r="47" spans="2:7" ht="16.5" x14ac:dyDescent="0.35"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</row>
    <row r="49" spans="3:7" x14ac:dyDescent="0.3">
      <c r="C49" s="1" t="s">
        <v>8</v>
      </c>
      <c r="D49" s="2">
        <f>(C42*366)-((C44+C45)*C42)</f>
        <v>658800</v>
      </c>
      <c r="E49" s="2"/>
      <c r="F49" s="2"/>
      <c r="G49" s="2">
        <f t="shared" ref="G49:G66" si="1">D49-E49-F49</f>
        <v>658800</v>
      </c>
    </row>
    <row r="50" spans="3:7" x14ac:dyDescent="0.3">
      <c r="C50" s="1" t="s">
        <v>9</v>
      </c>
      <c r="D50" s="2">
        <f>C42*30</f>
        <v>54000</v>
      </c>
      <c r="E50" s="2">
        <f>F42*30</f>
        <v>2418</v>
      </c>
      <c r="F50" s="2"/>
      <c r="G50" s="2">
        <f t="shared" si="1"/>
        <v>51582</v>
      </c>
    </row>
    <row r="51" spans="3:7" x14ac:dyDescent="0.3">
      <c r="C51" s="1" t="s">
        <v>10</v>
      </c>
      <c r="D51" s="2">
        <f>C42*14*0.25</f>
        <v>6300</v>
      </c>
      <c r="E51" s="2">
        <f>+F42*15</f>
        <v>1209</v>
      </c>
      <c r="F51" s="2"/>
      <c r="G51" s="2">
        <f t="shared" si="1"/>
        <v>5091</v>
      </c>
    </row>
    <row r="52" spans="3:7" x14ac:dyDescent="0.3">
      <c r="C52" s="1" t="s">
        <v>11</v>
      </c>
      <c r="D52" s="2"/>
      <c r="E52" s="2"/>
      <c r="F52" s="2"/>
      <c r="G52" s="2">
        <f t="shared" si="1"/>
        <v>0</v>
      </c>
    </row>
    <row r="53" spans="3:7" x14ac:dyDescent="0.3">
      <c r="C53" s="1" t="s">
        <v>12</v>
      </c>
      <c r="D53" s="2">
        <f>(C42/8)*200</f>
        <v>45000</v>
      </c>
      <c r="E53" s="2">
        <f>+F42*5*52</f>
        <v>20956</v>
      </c>
      <c r="F53" s="2"/>
      <c r="G53" s="2">
        <f t="shared" si="1"/>
        <v>24044</v>
      </c>
    </row>
    <row r="54" spans="3:7" x14ac:dyDescent="0.3">
      <c r="C54" s="1" t="s">
        <v>13</v>
      </c>
      <c r="D54" s="2">
        <v>2500</v>
      </c>
      <c r="E54" s="2">
        <f>F42*15</f>
        <v>1209</v>
      </c>
      <c r="F54" s="2"/>
      <c r="G54" s="2">
        <f t="shared" si="1"/>
        <v>1291</v>
      </c>
    </row>
    <row r="55" spans="3:7" x14ac:dyDescent="0.3">
      <c r="C55" s="1" t="s">
        <v>14</v>
      </c>
      <c r="D55" s="2">
        <f>+D74</f>
        <v>38349.479999999996</v>
      </c>
      <c r="E55" s="2">
        <f>+D55</f>
        <v>38349.479999999996</v>
      </c>
      <c r="F55" s="2"/>
      <c r="G55" s="2">
        <f t="shared" si="1"/>
        <v>0</v>
      </c>
    </row>
    <row r="56" spans="3:7" x14ac:dyDescent="0.3">
      <c r="C56" s="1" t="s">
        <v>101</v>
      </c>
      <c r="D56" s="2">
        <f>SUM(D49:D52)*5%</f>
        <v>35955</v>
      </c>
      <c r="E56" s="2"/>
      <c r="F56" s="2"/>
      <c r="G56" s="2">
        <f t="shared" si="1"/>
        <v>35955</v>
      </c>
    </row>
    <row r="57" spans="3:7" x14ac:dyDescent="0.3">
      <c r="C57" s="1" t="s">
        <v>15</v>
      </c>
      <c r="D57" s="2">
        <f>C42*60</f>
        <v>108000</v>
      </c>
      <c r="E57" s="2">
        <f>+F42*365</f>
        <v>29418.999999999996</v>
      </c>
      <c r="F57" s="2"/>
      <c r="G57" s="2">
        <f t="shared" si="1"/>
        <v>78581</v>
      </c>
    </row>
    <row r="58" spans="3:7" x14ac:dyDescent="0.3">
      <c r="C58" s="1" t="s">
        <v>16</v>
      </c>
      <c r="D58" s="2">
        <f>F42*366*40%</f>
        <v>11799.84</v>
      </c>
      <c r="E58" s="2">
        <f>+D70-E57</f>
        <v>80.600000000002183</v>
      </c>
      <c r="F58" s="2"/>
      <c r="G58" s="2">
        <f t="shared" si="1"/>
        <v>11719.239999999998</v>
      </c>
    </row>
    <row r="59" spans="3:7" x14ac:dyDescent="0.3">
      <c r="C59" s="1" t="s">
        <v>178</v>
      </c>
      <c r="D59" s="2">
        <v>0</v>
      </c>
      <c r="E59" s="2">
        <f>D59</f>
        <v>0</v>
      </c>
      <c r="F59" s="2"/>
      <c r="G59" s="2">
        <f t="shared" si="1"/>
        <v>0</v>
      </c>
    </row>
    <row r="60" spans="3:7" x14ac:dyDescent="0.3">
      <c r="C60" s="1" t="s">
        <v>179</v>
      </c>
      <c r="D60" s="2">
        <f>C43*C44*100%</f>
        <v>0</v>
      </c>
      <c r="E60" s="2">
        <f>D60</f>
        <v>0</v>
      </c>
      <c r="F60" s="2"/>
      <c r="G60" s="2">
        <f t="shared" si="1"/>
        <v>0</v>
      </c>
    </row>
    <row r="61" spans="3:7" x14ac:dyDescent="0.3">
      <c r="C61" s="1" t="s">
        <v>18</v>
      </c>
      <c r="D61" s="2">
        <f>SUM(D49:D52)*5.2%</f>
        <v>37393.200000000004</v>
      </c>
      <c r="E61" s="2">
        <f>D61</f>
        <v>37393.200000000004</v>
      </c>
      <c r="F61" s="2"/>
      <c r="G61" s="2">
        <f t="shared" si="1"/>
        <v>0</v>
      </c>
    </row>
    <row r="62" spans="3:7" x14ac:dyDescent="0.3">
      <c r="C62" s="1" t="s">
        <v>19</v>
      </c>
      <c r="D62" s="2">
        <f>C42*60</f>
        <v>108000</v>
      </c>
      <c r="E62" s="2"/>
      <c r="F62" s="2">
        <f>D62</f>
        <v>108000</v>
      </c>
      <c r="G62" s="2">
        <f t="shared" si="1"/>
        <v>0</v>
      </c>
    </row>
    <row r="63" spans="3:7" x14ac:dyDescent="0.3">
      <c r="C63" s="1" t="s">
        <v>20</v>
      </c>
      <c r="D63" s="2">
        <f>+F42*260</f>
        <v>20956</v>
      </c>
      <c r="E63" s="2"/>
      <c r="F63" s="2">
        <f>D63</f>
        <v>20956</v>
      </c>
      <c r="G63" s="2">
        <f t="shared" si="1"/>
        <v>0</v>
      </c>
    </row>
    <row r="64" spans="3:7" x14ac:dyDescent="0.3">
      <c r="C64" s="1" t="s">
        <v>21</v>
      </c>
      <c r="D64" s="2">
        <v>22800</v>
      </c>
      <c r="E64" s="2">
        <v>20650</v>
      </c>
      <c r="F64" s="2"/>
      <c r="G64" s="2">
        <f t="shared" si="1"/>
        <v>2150</v>
      </c>
    </row>
    <row r="65" spans="3:7" x14ac:dyDescent="0.3">
      <c r="C65" s="1" t="s">
        <v>22</v>
      </c>
      <c r="D65" s="2">
        <f>SUM(D49:D52)*10%</f>
        <v>71910</v>
      </c>
      <c r="E65" s="2">
        <f>F42*30-E50</f>
        <v>0</v>
      </c>
      <c r="F65" s="2"/>
      <c r="G65" s="2">
        <f t="shared" si="1"/>
        <v>71910</v>
      </c>
    </row>
    <row r="66" spans="3:7" x14ac:dyDescent="0.3">
      <c r="C66" s="1" t="s">
        <v>130</v>
      </c>
      <c r="D66" s="2">
        <f>SUM(D49:D52)*10%</f>
        <v>71910</v>
      </c>
      <c r="E66" s="2">
        <v>0</v>
      </c>
      <c r="F66" s="2"/>
      <c r="G66" s="2">
        <f t="shared" si="1"/>
        <v>71910</v>
      </c>
    </row>
    <row r="67" spans="3:7" x14ac:dyDescent="0.3">
      <c r="D67" s="2">
        <f>SUM(D49:D66)</f>
        <v>1293673.52</v>
      </c>
      <c r="E67" s="2">
        <f>SUM(E49:E66)</f>
        <v>151684.28</v>
      </c>
      <c r="F67" s="2">
        <f>SUM(F49:F66)</f>
        <v>128956</v>
      </c>
      <c r="G67" s="2">
        <f>SUM(G49:G66)</f>
        <v>1013033.24</v>
      </c>
    </row>
    <row r="69" spans="3:7" x14ac:dyDescent="0.3">
      <c r="C69" s="1" t="s">
        <v>135</v>
      </c>
    </row>
    <row r="70" spans="3:7" x14ac:dyDescent="0.3">
      <c r="D70" s="2">
        <f>F42*366</f>
        <v>29499.599999999999</v>
      </c>
      <c r="E70" s="1" t="s">
        <v>87</v>
      </c>
    </row>
    <row r="71" spans="3:7" x14ac:dyDescent="0.3">
      <c r="C71" s="1" t="s">
        <v>196</v>
      </c>
      <c r="E71" s="1" t="s">
        <v>86</v>
      </c>
    </row>
    <row r="73" spans="3:7" x14ac:dyDescent="0.3">
      <c r="C73" s="1" t="s">
        <v>96</v>
      </c>
    </row>
    <row r="74" spans="3:7" x14ac:dyDescent="0.3">
      <c r="C74" s="1" t="s">
        <v>88</v>
      </c>
      <c r="D74" s="30">
        <f>F42*366*1.3</f>
        <v>38349.479999999996</v>
      </c>
      <c r="E74" s="1" t="s">
        <v>136</v>
      </c>
    </row>
    <row r="76" spans="3:7" x14ac:dyDescent="0.3">
      <c r="C76" s="1" t="s">
        <v>90</v>
      </c>
    </row>
    <row r="78" spans="3:7" x14ac:dyDescent="0.3">
      <c r="C78" s="1" t="s">
        <v>91</v>
      </c>
    </row>
    <row r="79" spans="3:7" x14ac:dyDescent="0.3">
      <c r="C79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G39"/>
  <sheetViews>
    <sheetView topLeftCell="A24" workbookViewId="0">
      <selection activeCell="C32" sqref="C32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3.140625" style="1" customWidth="1"/>
    <col min="4" max="4" width="19.7109375" style="1" bestFit="1" customWidth="1"/>
    <col min="5" max="5" width="12.28515625" style="1" customWidth="1"/>
    <col min="6" max="6" width="12.85546875" style="1" customWidth="1"/>
    <col min="7" max="7" width="12.5703125" style="1" customWidth="1"/>
    <col min="8" max="16384" width="11.42578125" style="1"/>
  </cols>
  <sheetData>
    <row r="1" spans="2:7" x14ac:dyDescent="0.3">
      <c r="B1" s="1" t="s">
        <v>0</v>
      </c>
      <c r="C1" s="1" t="s">
        <v>36</v>
      </c>
      <c r="D1" s="89">
        <f>+'Tab-2018'!B50</f>
        <v>0</v>
      </c>
      <c r="E1" s="1" t="s">
        <v>185</v>
      </c>
    </row>
    <row r="2" spans="2:7" x14ac:dyDescent="0.3">
      <c r="B2" s="1" t="s">
        <v>1</v>
      </c>
      <c r="C2" s="2">
        <f>+'Tab-2018'!I48</f>
        <v>1815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+F3</f>
        <v>2014.9999999999998</v>
      </c>
      <c r="E3" s="1" t="s">
        <v>198</v>
      </c>
      <c r="F3" s="2">
        <f>+F2*25</f>
        <v>2014.9999999999998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664290</v>
      </c>
      <c r="E9" s="2"/>
      <c r="F9" s="2"/>
      <c r="G9" s="2">
        <f>D9-E9-F9</f>
        <v>664290</v>
      </c>
    </row>
    <row r="10" spans="2:7" x14ac:dyDescent="0.3">
      <c r="C10" s="1" t="s">
        <v>9</v>
      </c>
      <c r="D10" s="2">
        <f>C2*30</f>
        <v>54450</v>
      </c>
      <c r="E10" s="2">
        <f>F2*30</f>
        <v>2418</v>
      </c>
      <c r="F10" s="2"/>
      <c r="G10" s="2">
        <f t="shared" ref="G10:G26" si="0">D10-E10-F10</f>
        <v>52032</v>
      </c>
    </row>
    <row r="11" spans="2:7" x14ac:dyDescent="0.3">
      <c r="C11" s="1" t="s">
        <v>10</v>
      </c>
      <c r="D11" s="2">
        <f>C2*10*0.25</f>
        <v>4537.5</v>
      </c>
      <c r="E11" s="2">
        <f>+F2*15</f>
        <v>1209</v>
      </c>
      <c r="F11" s="2"/>
      <c r="G11" s="2">
        <f>D11-E11-F11</f>
        <v>3328.5</v>
      </c>
    </row>
    <row r="12" spans="2:7" x14ac:dyDescent="0.3">
      <c r="C12" s="1" t="s">
        <v>11</v>
      </c>
      <c r="D12" s="2"/>
      <c r="E12" s="2"/>
      <c r="F12" s="2"/>
      <c r="G12" s="2">
        <f t="shared" si="0"/>
        <v>0</v>
      </c>
    </row>
    <row r="13" spans="2:7" x14ac:dyDescent="0.3">
      <c r="C13" s="1" t="s">
        <v>12</v>
      </c>
      <c r="D13" s="2">
        <f>(C2/8)*200</f>
        <v>45375</v>
      </c>
      <c r="E13" s="2">
        <f>+F2*5*52</f>
        <v>20956</v>
      </c>
      <c r="F13" s="2"/>
      <c r="G13" s="2">
        <f t="shared" si="0"/>
        <v>24419</v>
      </c>
    </row>
    <row r="14" spans="2:7" x14ac:dyDescent="0.3">
      <c r="C14" s="1" t="s">
        <v>13</v>
      </c>
      <c r="D14" s="2">
        <v>2500</v>
      </c>
      <c r="E14" s="2">
        <f>F2*15</f>
        <v>1209</v>
      </c>
      <c r="F14" s="2"/>
      <c r="G14" s="2">
        <f t="shared" si="0"/>
        <v>1291</v>
      </c>
    </row>
    <row r="15" spans="2:7" x14ac:dyDescent="0.3">
      <c r="C15" s="1" t="s">
        <v>14</v>
      </c>
      <c r="D15" s="2">
        <f>+D34</f>
        <v>38349.479999999996</v>
      </c>
      <c r="E15" s="2">
        <f>+D15</f>
        <v>38349.479999999996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36163.875</v>
      </c>
      <c r="E16" s="2">
        <f>+D16</f>
        <v>36163.875</v>
      </c>
      <c r="F16" s="2"/>
      <c r="G16" s="2">
        <f t="shared" si="0"/>
        <v>0</v>
      </c>
    </row>
    <row r="17" spans="3:7" x14ac:dyDescent="0.3">
      <c r="C17" s="1" t="s">
        <v>15</v>
      </c>
      <c r="D17" s="2">
        <f>C2*11</f>
        <v>19965</v>
      </c>
      <c r="E17" s="2">
        <f>+D17</f>
        <v>19965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+D30-E17</f>
        <v>9534.5999999999985</v>
      </c>
      <c r="F18" s="2"/>
      <c r="G18" s="2">
        <f t="shared" si="0"/>
        <v>2265.2400000000016</v>
      </c>
    </row>
    <row r="19" spans="3:7" x14ac:dyDescent="0.3">
      <c r="C19" s="1" t="s">
        <v>178</v>
      </c>
      <c r="D19" s="2">
        <v>0</v>
      </c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C3*C4*100%</f>
        <v>0</v>
      </c>
      <c r="E20" s="2">
        <f>D20</f>
        <v>0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37610.43</v>
      </c>
      <c r="E21" s="2">
        <f>D21</f>
        <v>37610.43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108900</v>
      </c>
      <c r="E22" s="2"/>
      <c r="F22" s="2">
        <f>D22</f>
        <v>108900</v>
      </c>
      <c r="G22" s="2">
        <f t="shared" si="0"/>
        <v>0</v>
      </c>
    </row>
    <row r="23" spans="3:7" x14ac:dyDescent="0.3">
      <c r="C23" s="1" t="s">
        <v>20</v>
      </c>
      <c r="D23" s="2">
        <f>+F2*260</f>
        <v>20956</v>
      </c>
      <c r="E23" s="2"/>
      <c r="F23" s="2">
        <f>D23</f>
        <v>20956</v>
      </c>
      <c r="G23" s="2">
        <f t="shared" si="0"/>
        <v>0</v>
      </c>
    </row>
    <row r="24" spans="3:7" x14ac:dyDescent="0.3">
      <c r="C24" s="1" t="s">
        <v>21</v>
      </c>
      <c r="D24" s="2">
        <v>22800</v>
      </c>
      <c r="E24" s="2">
        <v>17650</v>
      </c>
      <c r="F24" s="2">
        <f>+D24*0.2</f>
        <v>4560</v>
      </c>
      <c r="G24" s="2">
        <f t="shared" si="0"/>
        <v>590</v>
      </c>
    </row>
    <row r="25" spans="3:7" x14ac:dyDescent="0.3">
      <c r="C25" s="1" t="s">
        <v>22</v>
      </c>
      <c r="D25" s="2">
        <f>SUM(D9:D12)*10%</f>
        <v>72327.75</v>
      </c>
      <c r="E25" s="2">
        <f>F2*30-E10</f>
        <v>0</v>
      </c>
      <c r="F25" s="2"/>
      <c r="G25" s="2">
        <f t="shared" si="0"/>
        <v>72327.75</v>
      </c>
    </row>
    <row r="26" spans="3:7" x14ac:dyDescent="0.3">
      <c r="C26" s="1" t="s">
        <v>130</v>
      </c>
      <c r="D26" s="2">
        <f>SUM(D9:D12)*10%</f>
        <v>72327.75</v>
      </c>
      <c r="E26" s="2">
        <v>0</v>
      </c>
      <c r="F26" s="2"/>
      <c r="G26" s="2">
        <f t="shared" si="0"/>
        <v>72327.75</v>
      </c>
    </row>
    <row r="27" spans="3:7" x14ac:dyDescent="0.3">
      <c r="D27" s="2">
        <f>SUM(D9:D26)</f>
        <v>1212352.625</v>
      </c>
      <c r="E27" s="2">
        <f>SUM(E9:E26)</f>
        <v>185065.38499999998</v>
      </c>
      <c r="F27" s="2">
        <f>SUM(F9:F26)</f>
        <v>134416</v>
      </c>
      <c r="G27" s="2">
        <f>SUM(G9:G26)</f>
        <v>892871.24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3:5" x14ac:dyDescent="0.3">
      <c r="C33" s="1" t="s">
        <v>96</v>
      </c>
    </row>
    <row r="34" spans="3:5" x14ac:dyDescent="0.3">
      <c r="C34" s="1" t="s">
        <v>88</v>
      </c>
      <c r="D34" s="30">
        <f>F2*366*1.3</f>
        <v>38349.479999999996</v>
      </c>
      <c r="E34" s="1" t="s">
        <v>89</v>
      </c>
    </row>
    <row r="36" spans="3:5" x14ac:dyDescent="0.3">
      <c r="C36" s="1" t="s">
        <v>90</v>
      </c>
    </row>
    <row r="38" spans="3:5" x14ac:dyDescent="0.3">
      <c r="C38" s="1" t="s">
        <v>91</v>
      </c>
    </row>
    <row r="39" spans="3:5" x14ac:dyDescent="0.3">
      <c r="C39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G41"/>
  <sheetViews>
    <sheetView workbookViewId="0">
      <selection activeCell="D9" sqref="D9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3.5703125" style="1" customWidth="1"/>
    <col min="4" max="4" width="15.140625" style="1" bestFit="1" customWidth="1"/>
    <col min="5" max="5" width="17" style="1" customWidth="1"/>
    <col min="6" max="6" width="13.7109375" style="1" customWidth="1"/>
    <col min="7" max="7" width="14.5703125" style="1" customWidth="1"/>
    <col min="8" max="16384" width="11.42578125" style="1"/>
  </cols>
  <sheetData>
    <row r="1" spans="2:7" ht="15.75" thickBot="1" x14ac:dyDescent="0.35">
      <c r="B1" s="1" t="s">
        <v>0</v>
      </c>
      <c r="C1" s="1" t="s">
        <v>37</v>
      </c>
      <c r="D1" s="73" t="s">
        <v>166</v>
      </c>
      <c r="E1" s="1" t="s">
        <v>185</v>
      </c>
    </row>
    <row r="2" spans="2:7" x14ac:dyDescent="0.3">
      <c r="B2" s="1" t="s">
        <v>1</v>
      </c>
      <c r="C2" s="2">
        <f>+'Tab-2018'!I50</f>
        <v>1826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+F3</f>
        <v>2014.9999999999998</v>
      </c>
      <c r="E3" s="1" t="s">
        <v>195</v>
      </c>
      <c r="F3" s="2">
        <f>+F2*25</f>
        <v>2014.9999999999998</v>
      </c>
    </row>
    <row r="4" spans="2:7" x14ac:dyDescent="0.3">
      <c r="C4" s="34"/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(C2*366)-(C4*C2)</f>
        <v>668316</v>
      </c>
      <c r="E9" s="2"/>
      <c r="F9" s="2"/>
      <c r="G9" s="2">
        <f>D9-E9-F9</f>
        <v>668316</v>
      </c>
    </row>
    <row r="10" spans="2:7" x14ac:dyDescent="0.3">
      <c r="C10" s="1" t="s">
        <v>9</v>
      </c>
      <c r="D10" s="2">
        <f>C2*30</f>
        <v>54780</v>
      </c>
      <c r="E10" s="2">
        <f>F2*30</f>
        <v>2418</v>
      </c>
      <c r="F10" s="2"/>
      <c r="G10" s="2">
        <f t="shared" ref="G10:G26" si="0">D10-E10-F10</f>
        <v>52362</v>
      </c>
    </row>
    <row r="11" spans="2:7" x14ac:dyDescent="0.3">
      <c r="C11" s="1" t="s">
        <v>10</v>
      </c>
      <c r="D11" s="2">
        <f>C2*18*0.25</f>
        <v>8217</v>
      </c>
      <c r="E11" s="2">
        <f>+F2*15</f>
        <v>1209</v>
      </c>
      <c r="F11" s="2"/>
      <c r="G11" s="2">
        <f>D11-E11-F11</f>
        <v>7008</v>
      </c>
    </row>
    <row r="12" spans="2:7" x14ac:dyDescent="0.3">
      <c r="C12" s="1" t="s">
        <v>11</v>
      </c>
      <c r="D12" s="2"/>
      <c r="E12" s="2"/>
      <c r="F12" s="2"/>
      <c r="G12" s="2">
        <f t="shared" si="0"/>
        <v>0</v>
      </c>
    </row>
    <row r="13" spans="2:7" x14ac:dyDescent="0.3">
      <c r="C13" s="1" t="s">
        <v>12</v>
      </c>
      <c r="D13" s="2"/>
      <c r="E13" s="2">
        <f>+D13*50%</f>
        <v>0</v>
      </c>
      <c r="F13" s="2"/>
      <c r="G13" s="2">
        <f t="shared" si="0"/>
        <v>0</v>
      </c>
    </row>
    <row r="14" spans="2:7" x14ac:dyDescent="0.3">
      <c r="C14" s="1" t="s">
        <v>13</v>
      </c>
      <c r="D14" s="2">
        <v>0</v>
      </c>
      <c r="E14" s="2">
        <v>0</v>
      </c>
      <c r="F14" s="2"/>
      <c r="G14" s="2">
        <f t="shared" si="0"/>
        <v>0</v>
      </c>
    </row>
    <row r="15" spans="2:7" x14ac:dyDescent="0.3">
      <c r="C15" s="1" t="s">
        <v>14</v>
      </c>
      <c r="D15" s="2">
        <f>+D36</f>
        <v>38349.479999999996</v>
      </c>
      <c r="E15" s="2">
        <f>+F2*366*1.3</f>
        <v>38349.479999999996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36565.65</v>
      </c>
      <c r="E16" s="2"/>
      <c r="F16" s="2"/>
      <c r="G16" s="2">
        <f t="shared" si="0"/>
        <v>36565.65</v>
      </c>
    </row>
    <row r="17" spans="3:7" x14ac:dyDescent="0.3">
      <c r="C17" s="1" t="s">
        <v>15</v>
      </c>
      <c r="D17" s="2">
        <f>+D32</f>
        <v>29499.599999999999</v>
      </c>
      <c r="E17" s="2">
        <f>+F2*366</f>
        <v>29499.599999999999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v>0</v>
      </c>
      <c r="F18" s="2"/>
      <c r="G18" s="2">
        <f t="shared" si="0"/>
        <v>11799.84</v>
      </c>
    </row>
    <row r="19" spans="3:7" x14ac:dyDescent="0.3">
      <c r="C19" s="1" t="s">
        <v>178</v>
      </c>
      <c r="D19" s="2">
        <v>0</v>
      </c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/>
      <c r="E20" s="2">
        <f>D20</f>
        <v>0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38028.276000000005</v>
      </c>
      <c r="E21" s="2">
        <f>D21</f>
        <v>38028.276000000005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109560</v>
      </c>
      <c r="E22" s="2"/>
      <c r="F22" s="2">
        <f>D22</f>
        <v>109560</v>
      </c>
      <c r="G22" s="2">
        <f t="shared" si="0"/>
        <v>0</v>
      </c>
    </row>
    <row r="23" spans="3:7" x14ac:dyDescent="0.3">
      <c r="C23" s="1" t="s">
        <v>20</v>
      </c>
      <c r="D23" s="2">
        <f>+F2*260</f>
        <v>20956</v>
      </c>
      <c r="E23" s="2"/>
      <c r="F23" s="2">
        <f>D23</f>
        <v>20956</v>
      </c>
      <c r="G23" s="2">
        <f t="shared" si="0"/>
        <v>0</v>
      </c>
    </row>
    <row r="24" spans="3:7" x14ac:dyDescent="0.3">
      <c r="C24" s="1" t="s">
        <v>21</v>
      </c>
      <c r="D24" s="2">
        <v>40800</v>
      </c>
      <c r="E24" s="2">
        <v>32640</v>
      </c>
      <c r="F24" s="2">
        <f>+D24*0.2</f>
        <v>8160</v>
      </c>
      <c r="G24" s="2">
        <f t="shared" si="0"/>
        <v>0</v>
      </c>
    </row>
    <row r="25" spans="3:7" x14ac:dyDescent="0.3">
      <c r="C25" s="1" t="s">
        <v>22</v>
      </c>
      <c r="D25" s="2">
        <f>SUM(D9:D12)*10%</f>
        <v>73131.3</v>
      </c>
      <c r="E25" s="2">
        <f>F2*30-E10</f>
        <v>0</v>
      </c>
      <c r="F25" s="2"/>
      <c r="G25" s="2">
        <f t="shared" si="0"/>
        <v>73131.3</v>
      </c>
    </row>
    <row r="26" spans="3:7" x14ac:dyDescent="0.3">
      <c r="C26" s="1" t="s">
        <v>130</v>
      </c>
      <c r="D26" s="2">
        <f>SUM(D9:D12)*10%</f>
        <v>73131.3</v>
      </c>
      <c r="E26" s="2">
        <v>0</v>
      </c>
      <c r="F26" s="2"/>
      <c r="G26" s="2">
        <f t="shared" si="0"/>
        <v>73131.3</v>
      </c>
    </row>
    <row r="27" spans="3:7" x14ac:dyDescent="0.3">
      <c r="D27" s="2">
        <f>SUM(D9:D26)</f>
        <v>1203134.446</v>
      </c>
      <c r="E27" s="2">
        <f>SUM(E9:E26)</f>
        <v>142144.356</v>
      </c>
      <c r="F27" s="2">
        <f>SUM(F9:F26)</f>
        <v>138676</v>
      </c>
      <c r="G27" s="2">
        <f>SUM(G9:G26)</f>
        <v>922314.09000000008</v>
      </c>
    </row>
    <row r="28" spans="3:7" x14ac:dyDescent="0.3">
      <c r="D28" s="2"/>
      <c r="E28" s="2"/>
      <c r="F28" s="2"/>
      <c r="G28" s="2"/>
    </row>
    <row r="29" spans="3:7" x14ac:dyDescent="0.3">
      <c r="D29" s="2"/>
      <c r="E29" s="2"/>
      <c r="F29" s="2"/>
      <c r="G29" s="2"/>
    </row>
    <row r="31" spans="3:7" x14ac:dyDescent="0.3">
      <c r="C31" s="1" t="s">
        <v>135</v>
      </c>
    </row>
    <row r="32" spans="3:7" x14ac:dyDescent="0.3">
      <c r="D32" s="2">
        <f>F2*366</f>
        <v>29499.599999999999</v>
      </c>
      <c r="E32" s="1" t="s">
        <v>87</v>
      </c>
    </row>
    <row r="33" spans="3:5" x14ac:dyDescent="0.3">
      <c r="C33" s="1" t="s">
        <v>196</v>
      </c>
      <c r="E33" s="1" t="s">
        <v>86</v>
      </c>
    </row>
    <row r="35" spans="3:5" x14ac:dyDescent="0.3">
      <c r="C35" s="1" t="s">
        <v>96</v>
      </c>
    </row>
    <row r="36" spans="3:5" x14ac:dyDescent="0.3">
      <c r="C36" s="1" t="s">
        <v>88</v>
      </c>
      <c r="D36" s="30">
        <f>F2*366*1.3</f>
        <v>38349.479999999996</v>
      </c>
      <c r="E36" s="1" t="s">
        <v>136</v>
      </c>
    </row>
    <row r="38" spans="3:5" x14ac:dyDescent="0.3">
      <c r="C38" s="1" t="s">
        <v>90</v>
      </c>
    </row>
    <row r="40" spans="3:5" x14ac:dyDescent="0.3">
      <c r="C40" s="1" t="s">
        <v>91</v>
      </c>
    </row>
    <row r="41" spans="3:5" x14ac:dyDescent="0.3">
      <c r="C41" s="1" t="s">
        <v>100</v>
      </c>
    </row>
  </sheetData>
  <phoneticPr fontId="0" type="noConversion"/>
  <pageMargins left="0.75" right="0.75" top="1" bottom="1" header="0" footer="0"/>
  <pageSetup scale="95" orientation="portrait" horizontalDpi="180" verticalDpi="18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6"/>
  <sheetViews>
    <sheetView topLeftCell="C30" workbookViewId="0">
      <selection activeCell="I16" sqref="I16"/>
    </sheetView>
  </sheetViews>
  <sheetFormatPr defaultColWidth="11.42578125" defaultRowHeight="12.75" x14ac:dyDescent="0.2"/>
  <cols>
    <col min="2" max="2" width="22.7109375" customWidth="1"/>
  </cols>
  <sheetData>
    <row r="1" spans="1:31" ht="63.75" x14ac:dyDescent="0.2">
      <c r="A1" s="52" t="s">
        <v>139</v>
      </c>
      <c r="B1" s="53" t="s">
        <v>140</v>
      </c>
      <c r="C1" s="54" t="s">
        <v>141</v>
      </c>
      <c r="D1" s="54" t="s">
        <v>142</v>
      </c>
      <c r="E1" s="54" t="s">
        <v>143</v>
      </c>
      <c r="F1" s="54" t="s">
        <v>192</v>
      </c>
      <c r="G1" s="55" t="s">
        <v>144</v>
      </c>
      <c r="H1" s="55" t="s">
        <v>145</v>
      </c>
      <c r="I1" s="55" t="s">
        <v>146</v>
      </c>
      <c r="J1" s="56" t="s">
        <v>147</v>
      </c>
      <c r="K1" s="56" t="s">
        <v>9</v>
      </c>
      <c r="L1" s="56" t="s">
        <v>148</v>
      </c>
      <c r="M1" s="56" t="s">
        <v>149</v>
      </c>
      <c r="N1" s="56" t="s">
        <v>150</v>
      </c>
      <c r="O1" s="56" t="s">
        <v>151</v>
      </c>
      <c r="P1" s="56" t="s">
        <v>193</v>
      </c>
      <c r="Q1" s="56" t="s">
        <v>152</v>
      </c>
      <c r="R1" s="57"/>
      <c r="S1" s="58" t="s">
        <v>153</v>
      </c>
      <c r="T1" s="58" t="s">
        <v>154</v>
      </c>
      <c r="U1" s="58" t="s">
        <v>155</v>
      </c>
      <c r="V1" s="58" t="s">
        <v>156</v>
      </c>
      <c r="W1" s="58" t="s">
        <v>12</v>
      </c>
      <c r="X1" s="59" t="s">
        <v>157</v>
      </c>
      <c r="Y1" s="58" t="s">
        <v>158</v>
      </c>
      <c r="Z1" s="58" t="s">
        <v>159</v>
      </c>
      <c r="AA1" s="58" t="s">
        <v>160</v>
      </c>
      <c r="AB1" s="58" t="s">
        <v>151</v>
      </c>
      <c r="AC1" s="58" t="s">
        <v>161</v>
      </c>
      <c r="AD1" s="59" t="s">
        <v>162</v>
      </c>
      <c r="AE1" s="60" t="s">
        <v>163</v>
      </c>
    </row>
    <row r="2" spans="1:31" x14ac:dyDescent="0.2">
      <c r="A2" s="90"/>
      <c r="B2" s="91"/>
      <c r="C2" s="92"/>
      <c r="D2" s="92"/>
      <c r="E2" s="92"/>
      <c r="F2" s="92">
        <v>73.040000000000006</v>
      </c>
      <c r="G2" s="93"/>
      <c r="H2" s="93"/>
      <c r="I2" s="99">
        <v>80</v>
      </c>
      <c r="J2" s="94">
        <v>24</v>
      </c>
      <c r="K2" s="94">
        <v>30</v>
      </c>
      <c r="L2" s="94">
        <v>14</v>
      </c>
      <c r="M2" s="94">
        <v>25</v>
      </c>
      <c r="N2" s="94" t="s">
        <v>165</v>
      </c>
      <c r="O2" s="102">
        <v>0.13</v>
      </c>
      <c r="P2" s="103">
        <f>+F2*30.4*0.4</f>
        <v>888.16640000000007</v>
      </c>
      <c r="Q2" s="94"/>
      <c r="R2" s="95"/>
      <c r="S2" s="96"/>
      <c r="T2" s="96"/>
      <c r="U2" s="96"/>
      <c r="V2" s="96"/>
      <c r="W2" s="96"/>
      <c r="X2" s="97"/>
      <c r="Y2" s="96"/>
      <c r="Z2" s="96"/>
      <c r="AA2" s="96"/>
      <c r="AB2" s="96"/>
      <c r="AC2" s="96"/>
      <c r="AD2" s="97"/>
      <c r="AE2" s="98"/>
    </row>
    <row r="3" spans="1:31" x14ac:dyDescent="0.2">
      <c r="A3" s="90"/>
      <c r="B3" s="91"/>
      <c r="C3" s="92"/>
      <c r="D3" s="92"/>
      <c r="E3" s="92"/>
      <c r="F3" s="92">
        <f>+F2</f>
        <v>73.040000000000006</v>
      </c>
      <c r="G3" s="93"/>
      <c r="H3" s="93"/>
      <c r="I3" s="99">
        <v>95</v>
      </c>
      <c r="J3" s="94">
        <v>24</v>
      </c>
      <c r="K3" s="94">
        <v>30</v>
      </c>
      <c r="L3" s="94">
        <v>14</v>
      </c>
      <c r="M3" s="94">
        <v>25</v>
      </c>
      <c r="N3" s="94" t="s">
        <v>165</v>
      </c>
      <c r="O3" s="102">
        <v>0.13</v>
      </c>
      <c r="P3" s="103">
        <f t="shared" ref="P3:P50" si="0">+F3*30.4*0.4</f>
        <v>888.16640000000007</v>
      </c>
      <c r="Q3" s="94"/>
      <c r="R3" s="95"/>
      <c r="S3" s="96"/>
      <c r="T3" s="96"/>
      <c r="U3" s="96"/>
      <c r="V3" s="96"/>
      <c r="W3" s="96"/>
      <c r="X3" s="97"/>
      <c r="Y3" s="96"/>
      <c r="Z3" s="96"/>
      <c r="AA3" s="96"/>
      <c r="AB3" s="96"/>
      <c r="AC3" s="96"/>
      <c r="AD3" s="97"/>
      <c r="AE3" s="98"/>
    </row>
    <row r="4" spans="1:31" x14ac:dyDescent="0.2">
      <c r="A4" s="90"/>
      <c r="B4" s="91"/>
      <c r="C4" s="92"/>
      <c r="D4" s="92"/>
      <c r="E4" s="92"/>
      <c r="F4" s="92">
        <f t="shared" ref="F4:F50" si="1">+F3</f>
        <v>73.040000000000006</v>
      </c>
      <c r="G4" s="93"/>
      <c r="H4" s="93"/>
      <c r="I4" s="99">
        <v>100</v>
      </c>
      <c r="J4" s="94">
        <v>24</v>
      </c>
      <c r="K4" s="94">
        <v>30</v>
      </c>
      <c r="L4" s="94">
        <v>14</v>
      </c>
      <c r="M4" s="94">
        <v>25</v>
      </c>
      <c r="N4" s="94" t="s">
        <v>165</v>
      </c>
      <c r="O4" s="102">
        <v>0.13</v>
      </c>
      <c r="P4" s="103">
        <f t="shared" si="0"/>
        <v>888.16640000000007</v>
      </c>
      <c r="Q4" s="94"/>
      <c r="R4" s="95"/>
      <c r="S4" s="96"/>
      <c r="T4" s="96"/>
      <c r="U4" s="96"/>
      <c r="V4" s="96"/>
      <c r="W4" s="96"/>
      <c r="X4" s="97"/>
      <c r="Y4" s="96"/>
      <c r="Z4" s="96"/>
      <c r="AA4" s="96"/>
      <c r="AB4" s="96"/>
      <c r="AC4" s="96"/>
      <c r="AD4" s="97"/>
      <c r="AE4" s="98"/>
    </row>
    <row r="5" spans="1:31" x14ac:dyDescent="0.2">
      <c r="A5" s="90"/>
      <c r="B5" s="91"/>
      <c r="C5" s="92"/>
      <c r="D5" s="92"/>
      <c r="E5" s="92"/>
      <c r="F5" s="92">
        <f t="shared" si="1"/>
        <v>73.040000000000006</v>
      </c>
      <c r="G5" s="93"/>
      <c r="H5" s="93"/>
      <c r="I5" s="99">
        <v>110</v>
      </c>
      <c r="J5" s="94">
        <v>24</v>
      </c>
      <c r="K5" s="94">
        <v>30</v>
      </c>
      <c r="L5" s="94">
        <v>14</v>
      </c>
      <c r="M5" s="94">
        <v>25</v>
      </c>
      <c r="N5" s="94" t="s">
        <v>165</v>
      </c>
      <c r="O5" s="102">
        <v>0.13</v>
      </c>
      <c r="P5" s="103">
        <f t="shared" si="0"/>
        <v>888.16640000000007</v>
      </c>
      <c r="Q5" s="94"/>
      <c r="R5" s="95"/>
      <c r="S5" s="96"/>
      <c r="T5" s="96"/>
      <c r="U5" s="96"/>
      <c r="V5" s="96"/>
      <c r="W5" s="96"/>
      <c r="X5" s="97"/>
      <c r="Y5" s="96"/>
      <c r="Z5" s="96"/>
      <c r="AA5" s="96"/>
      <c r="AB5" s="96"/>
      <c r="AC5" s="96"/>
      <c r="AD5" s="97"/>
      <c r="AE5" s="98"/>
    </row>
    <row r="6" spans="1:31" x14ac:dyDescent="0.2">
      <c r="A6" s="90"/>
      <c r="B6" s="91"/>
      <c r="C6" s="92"/>
      <c r="D6" s="92"/>
      <c r="E6" s="92"/>
      <c r="F6" s="92">
        <f t="shared" si="1"/>
        <v>73.040000000000006</v>
      </c>
      <c r="G6" s="93"/>
      <c r="H6" s="93"/>
      <c r="I6" s="99">
        <v>114</v>
      </c>
      <c r="J6" s="94">
        <v>24</v>
      </c>
      <c r="K6" s="94">
        <v>30</v>
      </c>
      <c r="L6" s="94">
        <v>14</v>
      </c>
      <c r="M6" s="94">
        <v>25</v>
      </c>
      <c r="N6" s="94" t="s">
        <v>165</v>
      </c>
      <c r="O6" s="102">
        <v>0.13</v>
      </c>
      <c r="P6" s="103">
        <f t="shared" si="0"/>
        <v>888.16640000000007</v>
      </c>
      <c r="Q6" s="94"/>
      <c r="R6" s="95"/>
      <c r="S6" s="96"/>
      <c r="T6" s="96"/>
      <c r="U6" s="96"/>
      <c r="V6" s="96"/>
      <c r="W6" s="96"/>
      <c r="X6" s="97"/>
      <c r="Y6" s="96"/>
      <c r="Z6" s="96"/>
      <c r="AA6" s="96"/>
      <c r="AB6" s="96"/>
      <c r="AC6" s="96"/>
      <c r="AD6" s="97"/>
      <c r="AE6" s="98"/>
    </row>
    <row r="7" spans="1:31" x14ac:dyDescent="0.2">
      <c r="A7" s="90"/>
      <c r="B7" s="91"/>
      <c r="C7" s="92"/>
      <c r="D7" s="92"/>
      <c r="E7" s="92"/>
      <c r="F7" s="92">
        <f t="shared" si="1"/>
        <v>73.040000000000006</v>
      </c>
      <c r="G7" s="93"/>
      <c r="H7" s="93"/>
      <c r="I7" s="99">
        <v>125</v>
      </c>
      <c r="J7" s="94">
        <v>24</v>
      </c>
      <c r="K7" s="94">
        <v>30</v>
      </c>
      <c r="L7" s="94">
        <v>14</v>
      </c>
      <c r="M7" s="94">
        <v>25</v>
      </c>
      <c r="N7" s="94" t="s">
        <v>165</v>
      </c>
      <c r="O7" s="102">
        <v>0.13</v>
      </c>
      <c r="P7" s="103">
        <f t="shared" si="0"/>
        <v>888.16640000000007</v>
      </c>
      <c r="Q7" s="94"/>
      <c r="R7" s="95"/>
      <c r="S7" s="96"/>
      <c r="T7" s="96"/>
      <c r="U7" s="96"/>
      <c r="V7" s="96"/>
      <c r="W7" s="96"/>
      <c r="X7" s="97"/>
      <c r="Y7" s="96"/>
      <c r="Z7" s="96"/>
      <c r="AA7" s="96"/>
      <c r="AB7" s="96"/>
      <c r="AC7" s="96"/>
      <c r="AD7" s="97"/>
      <c r="AE7" s="98"/>
    </row>
    <row r="8" spans="1:31" x14ac:dyDescent="0.2">
      <c r="A8" s="90"/>
      <c r="B8" s="91"/>
      <c r="C8" s="92"/>
      <c r="D8" s="92"/>
      <c r="E8" s="92"/>
      <c r="F8" s="92">
        <f t="shared" si="1"/>
        <v>73.040000000000006</v>
      </c>
      <c r="G8" s="93"/>
      <c r="H8" s="93"/>
      <c r="I8" s="99">
        <v>172</v>
      </c>
      <c r="J8" s="94">
        <v>24</v>
      </c>
      <c r="K8" s="94">
        <v>30</v>
      </c>
      <c r="L8" s="94">
        <v>14</v>
      </c>
      <c r="M8" s="94">
        <v>25</v>
      </c>
      <c r="N8" s="94" t="s">
        <v>165</v>
      </c>
      <c r="O8" s="102">
        <v>0.13</v>
      </c>
      <c r="P8" s="103">
        <f t="shared" si="0"/>
        <v>888.16640000000007</v>
      </c>
      <c r="Q8" s="94"/>
      <c r="R8" s="95"/>
      <c r="S8" s="96"/>
      <c r="T8" s="96"/>
      <c r="U8" s="96"/>
      <c r="V8" s="96"/>
      <c r="W8" s="96"/>
      <c r="X8" s="97"/>
      <c r="Y8" s="96"/>
      <c r="Z8" s="96"/>
      <c r="AA8" s="96"/>
      <c r="AB8" s="96"/>
      <c r="AC8" s="96"/>
      <c r="AD8" s="97"/>
      <c r="AE8" s="98"/>
    </row>
    <row r="9" spans="1:31" x14ac:dyDescent="0.2">
      <c r="A9" s="90"/>
      <c r="B9" s="91"/>
      <c r="C9" s="92"/>
      <c r="D9" s="92"/>
      <c r="E9" s="92"/>
      <c r="F9" s="92">
        <f t="shared" si="1"/>
        <v>73.040000000000006</v>
      </c>
      <c r="G9" s="93"/>
      <c r="H9" s="93"/>
      <c r="I9" s="99">
        <v>187</v>
      </c>
      <c r="J9" s="94">
        <v>24</v>
      </c>
      <c r="K9" s="94">
        <v>30</v>
      </c>
      <c r="L9" s="94">
        <v>14</v>
      </c>
      <c r="M9" s="94">
        <v>25</v>
      </c>
      <c r="N9" s="94" t="s">
        <v>165</v>
      </c>
      <c r="O9" s="102">
        <v>0.13</v>
      </c>
      <c r="P9" s="103">
        <f t="shared" si="0"/>
        <v>888.16640000000007</v>
      </c>
      <c r="Q9" s="94"/>
      <c r="R9" s="95"/>
      <c r="S9" s="96"/>
      <c r="T9" s="96"/>
      <c r="U9" s="96"/>
      <c r="V9" s="96"/>
      <c r="W9" s="96"/>
      <c r="X9" s="97"/>
      <c r="Y9" s="96"/>
      <c r="Z9" s="96"/>
      <c r="AA9" s="96"/>
      <c r="AB9" s="96"/>
      <c r="AC9" s="96"/>
      <c r="AD9" s="97"/>
      <c r="AE9" s="98"/>
    </row>
    <row r="10" spans="1:31" x14ac:dyDescent="0.2">
      <c r="A10" s="90"/>
      <c r="B10" s="91"/>
      <c r="C10" s="92"/>
      <c r="D10" s="92"/>
      <c r="E10" s="92"/>
      <c r="F10" s="92">
        <f t="shared" si="1"/>
        <v>73.040000000000006</v>
      </c>
      <c r="G10" s="93"/>
      <c r="H10" s="93"/>
      <c r="I10" s="99">
        <v>88</v>
      </c>
      <c r="J10" s="94">
        <v>24</v>
      </c>
      <c r="K10" s="94">
        <v>30</v>
      </c>
      <c r="L10" s="94">
        <v>14</v>
      </c>
      <c r="M10" s="94">
        <v>25</v>
      </c>
      <c r="N10" s="94" t="s">
        <v>165</v>
      </c>
      <c r="O10" s="102">
        <v>0.13</v>
      </c>
      <c r="P10" s="103">
        <f t="shared" si="0"/>
        <v>888.16640000000007</v>
      </c>
      <c r="Q10" s="94"/>
      <c r="R10" s="95"/>
      <c r="S10" s="96"/>
      <c r="T10" s="96"/>
      <c r="U10" s="96"/>
      <c r="V10" s="96"/>
      <c r="W10" s="96"/>
      <c r="X10" s="97"/>
      <c r="Y10" s="96"/>
      <c r="Z10" s="96"/>
      <c r="AA10" s="96"/>
      <c r="AB10" s="96"/>
      <c r="AC10" s="96"/>
      <c r="AD10" s="97"/>
      <c r="AE10" s="98"/>
    </row>
    <row r="11" spans="1:31" x14ac:dyDescent="0.2">
      <c r="A11" s="90"/>
      <c r="B11" s="91"/>
      <c r="C11" s="92"/>
      <c r="D11" s="92"/>
      <c r="E11" s="92"/>
      <c r="F11" s="92">
        <f t="shared" si="1"/>
        <v>73.040000000000006</v>
      </c>
      <c r="G11" s="93"/>
      <c r="H11" s="93"/>
      <c r="I11" s="99">
        <v>96</v>
      </c>
      <c r="J11" s="94">
        <v>24</v>
      </c>
      <c r="K11" s="94">
        <v>30</v>
      </c>
      <c r="L11" s="94">
        <v>14</v>
      </c>
      <c r="M11" s="94">
        <v>25</v>
      </c>
      <c r="N11" s="94" t="s">
        <v>165</v>
      </c>
      <c r="O11" s="102">
        <v>0.13</v>
      </c>
      <c r="P11" s="103">
        <f t="shared" si="0"/>
        <v>888.16640000000007</v>
      </c>
      <c r="Q11" s="94"/>
      <c r="R11" s="95"/>
      <c r="S11" s="96"/>
      <c r="T11" s="96"/>
      <c r="U11" s="96"/>
      <c r="V11" s="96"/>
      <c r="W11" s="96"/>
      <c r="X11" s="97"/>
      <c r="Y11" s="96"/>
      <c r="Z11" s="96"/>
      <c r="AA11" s="96"/>
      <c r="AB11" s="96"/>
      <c r="AC11" s="96"/>
      <c r="AD11" s="97"/>
      <c r="AE11" s="98"/>
    </row>
    <row r="12" spans="1:31" x14ac:dyDescent="0.2">
      <c r="A12" s="90"/>
      <c r="B12" s="91"/>
      <c r="C12" s="92"/>
      <c r="D12" s="92"/>
      <c r="E12" s="92"/>
      <c r="F12" s="92">
        <f t="shared" si="1"/>
        <v>73.040000000000006</v>
      </c>
      <c r="G12" s="93"/>
      <c r="H12" s="93"/>
      <c r="I12" s="99">
        <v>170</v>
      </c>
      <c r="J12" s="94">
        <v>24</v>
      </c>
      <c r="K12" s="94">
        <v>30</v>
      </c>
      <c r="L12" s="94">
        <v>14</v>
      </c>
      <c r="M12" s="94">
        <v>25</v>
      </c>
      <c r="N12" s="94" t="s">
        <v>165</v>
      </c>
      <c r="O12" s="102">
        <v>0.13</v>
      </c>
      <c r="P12" s="103">
        <f t="shared" si="0"/>
        <v>888.16640000000007</v>
      </c>
      <c r="Q12" s="94"/>
      <c r="R12" s="95"/>
      <c r="S12" s="96"/>
      <c r="T12" s="96"/>
      <c r="U12" s="96"/>
      <c r="V12" s="96"/>
      <c r="W12" s="96"/>
      <c r="X12" s="97"/>
      <c r="Y12" s="96"/>
      <c r="Z12" s="96"/>
      <c r="AA12" s="96"/>
      <c r="AB12" s="96"/>
      <c r="AC12" s="96"/>
      <c r="AD12" s="97"/>
      <c r="AE12" s="98"/>
    </row>
    <row r="13" spans="1:31" x14ac:dyDescent="0.2">
      <c r="A13" s="90"/>
      <c r="B13" s="91"/>
      <c r="C13" s="92"/>
      <c r="D13" s="92"/>
      <c r="E13" s="92"/>
      <c r="F13" s="92">
        <f t="shared" si="1"/>
        <v>73.040000000000006</v>
      </c>
      <c r="G13" s="93"/>
      <c r="H13" s="93"/>
      <c r="I13" s="99">
        <v>181</v>
      </c>
      <c r="J13" s="94">
        <v>24</v>
      </c>
      <c r="K13" s="94">
        <v>30</v>
      </c>
      <c r="L13" s="94">
        <v>14</v>
      </c>
      <c r="M13" s="94">
        <v>25</v>
      </c>
      <c r="N13" s="94" t="s">
        <v>165</v>
      </c>
      <c r="O13" s="102">
        <v>0.13</v>
      </c>
      <c r="P13" s="103">
        <f t="shared" si="0"/>
        <v>888.16640000000007</v>
      </c>
      <c r="Q13" s="94"/>
      <c r="R13" s="95"/>
      <c r="S13" s="96"/>
      <c r="T13" s="96"/>
      <c r="U13" s="96"/>
      <c r="V13" s="96"/>
      <c r="W13" s="96"/>
      <c r="X13" s="97"/>
      <c r="Y13" s="96"/>
      <c r="Z13" s="96"/>
      <c r="AA13" s="96"/>
      <c r="AB13" s="96"/>
      <c r="AC13" s="96"/>
      <c r="AD13" s="97"/>
      <c r="AE13" s="98"/>
    </row>
    <row r="14" spans="1:31" x14ac:dyDescent="0.2">
      <c r="A14" s="90"/>
      <c r="B14" s="91"/>
      <c r="C14" s="92"/>
      <c r="D14" s="92"/>
      <c r="E14" s="92"/>
      <c r="F14" s="92">
        <f t="shared" si="1"/>
        <v>73.040000000000006</v>
      </c>
      <c r="G14" s="93"/>
      <c r="H14" s="93"/>
      <c r="I14" s="99">
        <v>460</v>
      </c>
      <c r="J14" s="94">
        <v>24</v>
      </c>
      <c r="K14" s="94">
        <v>30</v>
      </c>
      <c r="L14" s="94">
        <v>14</v>
      </c>
      <c r="M14" s="94">
        <v>25</v>
      </c>
      <c r="N14" s="94" t="s">
        <v>165</v>
      </c>
      <c r="O14" s="102">
        <v>0.13</v>
      </c>
      <c r="P14" s="103">
        <f t="shared" si="0"/>
        <v>888.16640000000007</v>
      </c>
      <c r="Q14" s="94"/>
      <c r="R14" s="95"/>
      <c r="S14" s="96"/>
      <c r="T14" s="96"/>
      <c r="U14" s="96"/>
      <c r="V14" s="96"/>
      <c r="W14" s="96"/>
      <c r="X14" s="97"/>
      <c r="Y14" s="96"/>
      <c r="Z14" s="96"/>
      <c r="AA14" s="96"/>
      <c r="AB14" s="96"/>
      <c r="AC14" s="96"/>
      <c r="AD14" s="97"/>
      <c r="AE14" s="98"/>
    </row>
    <row r="15" spans="1:31" x14ac:dyDescent="0.2">
      <c r="A15" s="90"/>
      <c r="B15" s="91"/>
      <c r="C15" s="92"/>
      <c r="D15" s="92"/>
      <c r="E15" s="92"/>
      <c r="F15" s="92">
        <f t="shared" si="1"/>
        <v>73.040000000000006</v>
      </c>
      <c r="G15" s="93"/>
      <c r="H15" s="93"/>
      <c r="I15" s="99">
        <v>520</v>
      </c>
      <c r="J15" s="94">
        <v>24</v>
      </c>
      <c r="K15" s="94">
        <v>30</v>
      </c>
      <c r="L15" s="94">
        <v>14</v>
      </c>
      <c r="M15" s="94">
        <v>25</v>
      </c>
      <c r="N15" s="94" t="s">
        <v>165</v>
      </c>
      <c r="O15" s="102">
        <v>0.13</v>
      </c>
      <c r="P15" s="103">
        <f t="shared" si="0"/>
        <v>888.16640000000007</v>
      </c>
      <c r="Q15" s="94"/>
      <c r="R15" s="95"/>
      <c r="S15" s="96"/>
      <c r="T15" s="96"/>
      <c r="U15" s="96"/>
      <c r="V15" s="96"/>
      <c r="W15" s="96"/>
      <c r="X15" s="97"/>
      <c r="Y15" s="96"/>
      <c r="Z15" s="96"/>
      <c r="AA15" s="96"/>
      <c r="AB15" s="96"/>
      <c r="AC15" s="96"/>
      <c r="AD15" s="97"/>
      <c r="AE15" s="98"/>
    </row>
    <row r="16" spans="1:31" x14ac:dyDescent="0.2">
      <c r="A16" s="90"/>
      <c r="B16" s="91"/>
      <c r="C16" s="92"/>
      <c r="D16" s="92"/>
      <c r="E16" s="92"/>
      <c r="F16" s="92">
        <f t="shared" si="1"/>
        <v>73.040000000000006</v>
      </c>
      <c r="G16" s="93"/>
      <c r="H16" s="93"/>
      <c r="I16" s="99">
        <v>550</v>
      </c>
      <c r="J16" s="94">
        <v>24</v>
      </c>
      <c r="K16" s="94">
        <v>30</v>
      </c>
      <c r="L16" s="94">
        <v>14</v>
      </c>
      <c r="M16" s="94">
        <v>25</v>
      </c>
      <c r="N16" s="94" t="s">
        <v>165</v>
      </c>
      <c r="O16" s="102">
        <v>0.13</v>
      </c>
      <c r="P16" s="103">
        <f t="shared" si="0"/>
        <v>888.16640000000007</v>
      </c>
      <c r="Q16" s="94"/>
      <c r="R16" s="95"/>
      <c r="S16" s="96"/>
      <c r="T16" s="96"/>
      <c r="U16" s="96"/>
      <c r="V16" s="96"/>
      <c r="W16" s="96"/>
      <c r="X16" s="97"/>
      <c r="Y16" s="96"/>
      <c r="Z16" s="96"/>
      <c r="AA16" s="96"/>
      <c r="AB16" s="96"/>
      <c r="AC16" s="96"/>
      <c r="AD16" s="97"/>
      <c r="AE16" s="98"/>
    </row>
    <row r="17" spans="1:31" x14ac:dyDescent="0.2">
      <c r="A17" s="90"/>
      <c r="B17" s="91"/>
      <c r="C17" s="92"/>
      <c r="D17" s="92"/>
      <c r="E17" s="92"/>
      <c r="F17" s="92">
        <f t="shared" si="1"/>
        <v>73.040000000000006</v>
      </c>
      <c r="G17" s="93"/>
      <c r="H17" s="93"/>
      <c r="I17" s="99">
        <v>140</v>
      </c>
      <c r="J17" s="94">
        <v>24</v>
      </c>
      <c r="K17" s="94">
        <v>30</v>
      </c>
      <c r="L17" s="94">
        <v>14</v>
      </c>
      <c r="M17" s="94">
        <v>25</v>
      </c>
      <c r="N17" s="94" t="s">
        <v>165</v>
      </c>
      <c r="O17" s="102">
        <v>0.13</v>
      </c>
      <c r="P17" s="103">
        <f t="shared" si="0"/>
        <v>888.16640000000007</v>
      </c>
      <c r="Q17" s="94"/>
      <c r="R17" s="95"/>
      <c r="S17" s="96"/>
      <c r="T17" s="96"/>
      <c r="U17" s="96"/>
      <c r="V17" s="96"/>
      <c r="W17" s="96"/>
      <c r="X17" s="97"/>
      <c r="Y17" s="96"/>
      <c r="Z17" s="96"/>
      <c r="AA17" s="96"/>
      <c r="AB17" s="96"/>
      <c r="AC17" s="96"/>
      <c r="AD17" s="97"/>
      <c r="AE17" s="98"/>
    </row>
    <row r="18" spans="1:31" x14ac:dyDescent="0.2">
      <c r="A18" s="90"/>
      <c r="B18" s="91"/>
      <c r="C18" s="92"/>
      <c r="D18" s="92"/>
      <c r="E18" s="92"/>
      <c r="F18" s="92">
        <f t="shared" si="1"/>
        <v>73.040000000000006</v>
      </c>
      <c r="G18" s="93"/>
      <c r="H18" s="93"/>
      <c r="I18" s="99">
        <v>157</v>
      </c>
      <c r="J18" s="94">
        <v>24</v>
      </c>
      <c r="K18" s="94">
        <v>30</v>
      </c>
      <c r="L18" s="94">
        <v>14</v>
      </c>
      <c r="M18" s="94">
        <v>25</v>
      </c>
      <c r="N18" s="94" t="s">
        <v>165</v>
      </c>
      <c r="O18" s="102">
        <v>0.13</v>
      </c>
      <c r="P18" s="103">
        <f t="shared" si="0"/>
        <v>888.16640000000007</v>
      </c>
      <c r="Q18" s="94"/>
      <c r="R18" s="95"/>
      <c r="S18" s="96"/>
      <c r="T18" s="96"/>
      <c r="U18" s="96"/>
      <c r="V18" s="96"/>
      <c r="W18" s="96"/>
      <c r="X18" s="97"/>
      <c r="Y18" s="96"/>
      <c r="Z18" s="96"/>
      <c r="AA18" s="96"/>
      <c r="AB18" s="96"/>
      <c r="AC18" s="96"/>
      <c r="AD18" s="97"/>
      <c r="AE18" s="98"/>
    </row>
    <row r="19" spans="1:31" x14ac:dyDescent="0.2">
      <c r="A19" s="90"/>
      <c r="B19" s="91"/>
      <c r="C19" s="92"/>
      <c r="D19" s="92"/>
      <c r="E19" s="92"/>
      <c r="F19" s="92">
        <f t="shared" si="1"/>
        <v>73.040000000000006</v>
      </c>
      <c r="G19" s="93"/>
      <c r="H19" s="93"/>
      <c r="I19" s="99">
        <v>179</v>
      </c>
      <c r="J19" s="94">
        <v>24</v>
      </c>
      <c r="K19" s="94">
        <v>30</v>
      </c>
      <c r="L19" s="94">
        <v>14</v>
      </c>
      <c r="M19" s="94">
        <v>25</v>
      </c>
      <c r="N19" s="94" t="s">
        <v>165</v>
      </c>
      <c r="O19" s="102">
        <v>0.13</v>
      </c>
      <c r="P19" s="103">
        <f t="shared" si="0"/>
        <v>888.16640000000007</v>
      </c>
      <c r="Q19" s="94"/>
      <c r="R19" s="95"/>
      <c r="S19" s="96"/>
      <c r="T19" s="96"/>
      <c r="U19" s="96"/>
      <c r="V19" s="96"/>
      <c r="W19" s="96"/>
      <c r="X19" s="97"/>
      <c r="Y19" s="96"/>
      <c r="Z19" s="96"/>
      <c r="AA19" s="96"/>
      <c r="AB19" s="96"/>
      <c r="AC19" s="96"/>
      <c r="AD19" s="97"/>
      <c r="AE19" s="98"/>
    </row>
    <row r="20" spans="1:31" x14ac:dyDescent="0.2">
      <c r="A20" s="90"/>
      <c r="B20" s="91"/>
      <c r="C20" s="92"/>
      <c r="D20" s="92"/>
      <c r="E20" s="92"/>
      <c r="F20" s="92">
        <f t="shared" si="1"/>
        <v>73.040000000000006</v>
      </c>
      <c r="G20" s="93"/>
      <c r="H20" s="93"/>
      <c r="I20" s="99">
        <v>250</v>
      </c>
      <c r="J20" s="94">
        <v>24</v>
      </c>
      <c r="K20" s="94">
        <v>30</v>
      </c>
      <c r="L20" s="94">
        <v>14</v>
      </c>
      <c r="M20" s="94">
        <v>25</v>
      </c>
      <c r="N20" s="94" t="s">
        <v>165</v>
      </c>
      <c r="O20" s="102">
        <v>0.13</v>
      </c>
      <c r="P20" s="103">
        <f t="shared" si="0"/>
        <v>888.16640000000007</v>
      </c>
      <c r="Q20" s="94"/>
      <c r="R20" s="95"/>
      <c r="S20" s="96"/>
      <c r="T20" s="96"/>
      <c r="U20" s="96"/>
      <c r="V20" s="96"/>
      <c r="W20" s="96"/>
      <c r="X20" s="97"/>
      <c r="Y20" s="96"/>
      <c r="Z20" s="96"/>
      <c r="AA20" s="96"/>
      <c r="AB20" s="96"/>
      <c r="AC20" s="96"/>
      <c r="AD20" s="97"/>
      <c r="AE20" s="98"/>
    </row>
    <row r="21" spans="1:31" x14ac:dyDescent="0.2">
      <c r="A21" s="90"/>
      <c r="B21" s="91"/>
      <c r="C21" s="92"/>
      <c r="D21" s="92"/>
      <c r="E21" s="92"/>
      <c r="F21" s="92">
        <f t="shared" si="1"/>
        <v>73.040000000000006</v>
      </c>
      <c r="G21" s="93"/>
      <c r="H21" s="93"/>
      <c r="I21" s="99">
        <v>300</v>
      </c>
      <c r="J21" s="94">
        <v>24</v>
      </c>
      <c r="K21" s="94">
        <v>30</v>
      </c>
      <c r="L21" s="94">
        <v>14</v>
      </c>
      <c r="M21" s="94">
        <v>25</v>
      </c>
      <c r="N21" s="94" t="s">
        <v>165</v>
      </c>
      <c r="O21" s="102">
        <v>0.13</v>
      </c>
      <c r="P21" s="103">
        <f t="shared" si="0"/>
        <v>888.16640000000007</v>
      </c>
      <c r="Q21" s="94"/>
      <c r="R21" s="95"/>
      <c r="S21" s="96"/>
      <c r="T21" s="96"/>
      <c r="U21" s="96"/>
      <c r="V21" s="96"/>
      <c r="W21" s="96"/>
      <c r="X21" s="97"/>
      <c r="Y21" s="96"/>
      <c r="Z21" s="96"/>
      <c r="AA21" s="96"/>
      <c r="AB21" s="96"/>
      <c r="AC21" s="96"/>
      <c r="AD21" s="97"/>
      <c r="AE21" s="98"/>
    </row>
    <row r="22" spans="1:31" x14ac:dyDescent="0.2">
      <c r="A22" s="90"/>
      <c r="B22" s="91"/>
      <c r="C22" s="92"/>
      <c r="D22" s="92"/>
      <c r="E22" s="92"/>
      <c r="F22" s="92">
        <f t="shared" si="1"/>
        <v>73.040000000000006</v>
      </c>
      <c r="G22" s="93"/>
      <c r="H22" s="93"/>
      <c r="I22" s="99">
        <v>315</v>
      </c>
      <c r="J22" s="94">
        <v>24</v>
      </c>
      <c r="K22" s="94">
        <v>30</v>
      </c>
      <c r="L22" s="94">
        <v>14</v>
      </c>
      <c r="M22" s="94">
        <v>25</v>
      </c>
      <c r="N22" s="94" t="s">
        <v>165</v>
      </c>
      <c r="O22" s="102">
        <v>0.13</v>
      </c>
      <c r="P22" s="103">
        <f t="shared" si="0"/>
        <v>888.16640000000007</v>
      </c>
      <c r="Q22" s="94"/>
      <c r="R22" s="95"/>
      <c r="S22" s="96"/>
      <c r="T22" s="96"/>
      <c r="U22" s="96"/>
      <c r="V22" s="96"/>
      <c r="W22" s="96"/>
      <c r="X22" s="97"/>
      <c r="Y22" s="96"/>
      <c r="Z22" s="96"/>
      <c r="AA22" s="96"/>
      <c r="AB22" s="96"/>
      <c r="AC22" s="96"/>
      <c r="AD22" s="97"/>
      <c r="AE22" s="98"/>
    </row>
    <row r="23" spans="1:31" x14ac:dyDescent="0.2">
      <c r="A23" s="90"/>
      <c r="B23" s="91"/>
      <c r="C23" s="92"/>
      <c r="D23" s="92"/>
      <c r="E23" s="92"/>
      <c r="F23" s="92">
        <f t="shared" si="1"/>
        <v>73.040000000000006</v>
      </c>
      <c r="G23" s="93"/>
      <c r="H23" s="93"/>
      <c r="I23" s="99">
        <v>330</v>
      </c>
      <c r="J23" s="94">
        <v>24</v>
      </c>
      <c r="K23" s="94">
        <v>30</v>
      </c>
      <c r="L23" s="94">
        <v>14</v>
      </c>
      <c r="M23" s="94">
        <v>25</v>
      </c>
      <c r="N23" s="94" t="s">
        <v>165</v>
      </c>
      <c r="O23" s="102">
        <v>0.13</v>
      </c>
      <c r="P23" s="103">
        <f t="shared" si="0"/>
        <v>888.16640000000007</v>
      </c>
      <c r="Q23" s="94"/>
      <c r="R23" s="95"/>
      <c r="S23" s="96"/>
      <c r="T23" s="96"/>
      <c r="U23" s="96"/>
      <c r="V23" s="96"/>
      <c r="W23" s="96"/>
      <c r="X23" s="97"/>
      <c r="Y23" s="96"/>
      <c r="Z23" s="96"/>
      <c r="AA23" s="96"/>
      <c r="AB23" s="96"/>
      <c r="AC23" s="96"/>
      <c r="AD23" s="97"/>
      <c r="AE23" s="98"/>
    </row>
    <row r="24" spans="1:31" x14ac:dyDescent="0.2">
      <c r="A24" s="90"/>
      <c r="B24" s="91"/>
      <c r="C24" s="92"/>
      <c r="D24" s="92"/>
      <c r="E24" s="92"/>
      <c r="F24" s="92">
        <f t="shared" si="1"/>
        <v>73.040000000000006</v>
      </c>
      <c r="G24" s="93"/>
      <c r="H24" s="93"/>
      <c r="I24" s="99">
        <v>350</v>
      </c>
      <c r="J24" s="94">
        <v>24</v>
      </c>
      <c r="K24" s="94">
        <v>30</v>
      </c>
      <c r="L24" s="94">
        <v>14</v>
      </c>
      <c r="M24" s="94">
        <v>25</v>
      </c>
      <c r="N24" s="94" t="s">
        <v>165</v>
      </c>
      <c r="O24" s="102">
        <v>0.13</v>
      </c>
      <c r="P24" s="103">
        <f t="shared" si="0"/>
        <v>888.16640000000007</v>
      </c>
      <c r="Q24" s="94"/>
      <c r="R24" s="95"/>
      <c r="S24" s="96"/>
      <c r="T24" s="96"/>
      <c r="U24" s="96"/>
      <c r="V24" s="96"/>
      <c r="W24" s="96"/>
      <c r="X24" s="97"/>
      <c r="Y24" s="96"/>
      <c r="Z24" s="96"/>
      <c r="AA24" s="96"/>
      <c r="AB24" s="96"/>
      <c r="AC24" s="96"/>
      <c r="AD24" s="97"/>
      <c r="AE24" s="98"/>
    </row>
    <row r="25" spans="1:31" x14ac:dyDescent="0.2">
      <c r="A25" s="90"/>
      <c r="B25" s="91"/>
      <c r="C25" s="92"/>
      <c r="D25" s="92"/>
      <c r="E25" s="92"/>
      <c r="F25" s="92">
        <f t="shared" si="1"/>
        <v>73.040000000000006</v>
      </c>
      <c r="G25" s="93"/>
      <c r="H25" s="93"/>
      <c r="I25" s="99">
        <v>417</v>
      </c>
      <c r="J25" s="94">
        <v>24</v>
      </c>
      <c r="K25" s="94">
        <v>30</v>
      </c>
      <c r="L25" s="94">
        <v>14</v>
      </c>
      <c r="M25" s="94">
        <v>25</v>
      </c>
      <c r="N25" s="94" t="s">
        <v>165</v>
      </c>
      <c r="O25" s="102">
        <v>0.13</v>
      </c>
      <c r="P25" s="103">
        <f t="shared" si="0"/>
        <v>888.16640000000007</v>
      </c>
      <c r="Q25" s="94"/>
      <c r="R25" s="95"/>
      <c r="S25" s="96"/>
      <c r="T25" s="96"/>
      <c r="U25" s="96"/>
      <c r="V25" s="96"/>
      <c r="W25" s="96"/>
      <c r="X25" s="97"/>
      <c r="Y25" s="96"/>
      <c r="Z25" s="96"/>
      <c r="AA25" s="96"/>
      <c r="AB25" s="96"/>
      <c r="AC25" s="96"/>
      <c r="AD25" s="97"/>
      <c r="AE25" s="98"/>
    </row>
    <row r="26" spans="1:31" x14ac:dyDescent="0.2">
      <c r="A26" s="90"/>
      <c r="B26" s="91"/>
      <c r="C26" s="92"/>
      <c r="D26" s="92"/>
      <c r="E26" s="92"/>
      <c r="F26" s="92">
        <f t="shared" si="1"/>
        <v>73.040000000000006</v>
      </c>
      <c r="G26" s="93"/>
      <c r="H26" s="93"/>
      <c r="I26" s="99">
        <v>447</v>
      </c>
      <c r="J26" s="94">
        <v>24</v>
      </c>
      <c r="K26" s="94">
        <v>30</v>
      </c>
      <c r="L26" s="94">
        <v>14</v>
      </c>
      <c r="M26" s="94">
        <v>25</v>
      </c>
      <c r="N26" s="94" t="s">
        <v>165</v>
      </c>
      <c r="O26" s="102">
        <v>0.13</v>
      </c>
      <c r="P26" s="103">
        <f t="shared" si="0"/>
        <v>888.16640000000007</v>
      </c>
      <c r="Q26" s="94"/>
      <c r="R26" s="95"/>
      <c r="S26" s="96"/>
      <c r="T26" s="96"/>
      <c r="U26" s="96"/>
      <c r="V26" s="96"/>
      <c r="W26" s="96"/>
      <c r="X26" s="97"/>
      <c r="Y26" s="96"/>
      <c r="Z26" s="96"/>
      <c r="AA26" s="96"/>
      <c r="AB26" s="96"/>
      <c r="AC26" s="96"/>
      <c r="AD26" s="97"/>
      <c r="AE26" s="98"/>
    </row>
    <row r="27" spans="1:31" x14ac:dyDescent="0.2">
      <c r="A27" s="90"/>
      <c r="B27" s="91"/>
      <c r="C27" s="92"/>
      <c r="D27" s="92"/>
      <c r="E27" s="92"/>
      <c r="F27" s="92">
        <f t="shared" si="1"/>
        <v>73.040000000000006</v>
      </c>
      <c r="G27" s="93"/>
      <c r="H27" s="93"/>
      <c r="I27" s="99">
        <v>475</v>
      </c>
      <c r="J27" s="94">
        <v>24</v>
      </c>
      <c r="K27" s="94">
        <v>30</v>
      </c>
      <c r="L27" s="94">
        <v>14</v>
      </c>
      <c r="M27" s="94">
        <v>25</v>
      </c>
      <c r="N27" s="94" t="s">
        <v>165</v>
      </c>
      <c r="O27" s="102">
        <v>0.13</v>
      </c>
      <c r="P27" s="103">
        <f t="shared" si="0"/>
        <v>888.16640000000007</v>
      </c>
      <c r="Q27" s="94"/>
      <c r="R27" s="95"/>
      <c r="S27" s="96"/>
      <c r="T27" s="96"/>
      <c r="U27" s="96"/>
      <c r="V27" s="96"/>
      <c r="W27" s="96"/>
      <c r="X27" s="97"/>
      <c r="Y27" s="96"/>
      <c r="Z27" s="96"/>
      <c r="AA27" s="96"/>
      <c r="AB27" s="96"/>
      <c r="AC27" s="96"/>
      <c r="AD27" s="97"/>
      <c r="AE27" s="98"/>
    </row>
    <row r="28" spans="1:31" x14ac:dyDescent="0.2">
      <c r="A28" s="90"/>
      <c r="B28" s="91"/>
      <c r="C28" s="92"/>
      <c r="D28" s="92"/>
      <c r="E28" s="92"/>
      <c r="F28" s="92">
        <f t="shared" si="1"/>
        <v>73.040000000000006</v>
      </c>
      <c r="G28" s="93"/>
      <c r="H28" s="93"/>
      <c r="I28" s="99">
        <v>500</v>
      </c>
      <c r="J28" s="94">
        <v>24</v>
      </c>
      <c r="K28" s="94">
        <v>30</v>
      </c>
      <c r="L28" s="94">
        <v>14</v>
      </c>
      <c r="M28" s="94">
        <v>25</v>
      </c>
      <c r="N28" s="94" t="s">
        <v>165</v>
      </c>
      <c r="O28" s="102">
        <v>0.13</v>
      </c>
      <c r="P28" s="103">
        <f t="shared" si="0"/>
        <v>888.16640000000007</v>
      </c>
      <c r="Q28" s="94"/>
      <c r="R28" s="95"/>
      <c r="S28" s="96"/>
      <c r="T28" s="96"/>
      <c r="U28" s="96"/>
      <c r="V28" s="96"/>
      <c r="W28" s="96"/>
      <c r="X28" s="97"/>
      <c r="Y28" s="96"/>
      <c r="Z28" s="96"/>
      <c r="AA28" s="96"/>
      <c r="AB28" s="96"/>
      <c r="AC28" s="96"/>
      <c r="AD28" s="97"/>
      <c r="AE28" s="98"/>
    </row>
    <row r="29" spans="1:31" x14ac:dyDescent="0.2">
      <c r="A29" s="90"/>
      <c r="B29" s="91"/>
      <c r="C29" s="92"/>
      <c r="D29" s="92"/>
      <c r="E29" s="92"/>
      <c r="F29" s="92">
        <f t="shared" si="1"/>
        <v>73.040000000000006</v>
      </c>
      <c r="G29" s="93"/>
      <c r="H29" s="93"/>
      <c r="I29" s="99">
        <v>590</v>
      </c>
      <c r="J29" s="94">
        <v>24</v>
      </c>
      <c r="K29" s="94">
        <v>30</v>
      </c>
      <c r="L29" s="94">
        <v>14</v>
      </c>
      <c r="M29" s="94">
        <v>25</v>
      </c>
      <c r="N29" s="94" t="s">
        <v>165</v>
      </c>
      <c r="O29" s="102">
        <v>0.13</v>
      </c>
      <c r="P29" s="103">
        <f t="shared" si="0"/>
        <v>888.16640000000007</v>
      </c>
      <c r="Q29" s="94"/>
      <c r="R29" s="95"/>
      <c r="S29" s="96"/>
      <c r="T29" s="96"/>
      <c r="U29" s="96"/>
      <c r="V29" s="96"/>
      <c r="W29" s="96"/>
      <c r="X29" s="97"/>
      <c r="Y29" s="96"/>
      <c r="Z29" s="96"/>
      <c r="AA29" s="96"/>
      <c r="AB29" s="96"/>
      <c r="AC29" s="96"/>
      <c r="AD29" s="97"/>
      <c r="AE29" s="98"/>
    </row>
    <row r="30" spans="1:31" x14ac:dyDescent="0.2">
      <c r="A30" s="90"/>
      <c r="B30" s="91"/>
      <c r="C30" s="92"/>
      <c r="D30" s="92"/>
      <c r="E30" s="92"/>
      <c r="F30" s="92">
        <f t="shared" si="1"/>
        <v>73.040000000000006</v>
      </c>
      <c r="G30" s="93"/>
      <c r="H30" s="93"/>
      <c r="I30" s="99">
        <v>600</v>
      </c>
      <c r="J30" s="94">
        <v>24</v>
      </c>
      <c r="K30" s="94">
        <v>30</v>
      </c>
      <c r="L30" s="94">
        <v>14</v>
      </c>
      <c r="M30" s="94">
        <v>25</v>
      </c>
      <c r="N30" s="94" t="s">
        <v>165</v>
      </c>
      <c r="O30" s="102">
        <v>0.13</v>
      </c>
      <c r="P30" s="103">
        <f t="shared" si="0"/>
        <v>888.16640000000007</v>
      </c>
      <c r="Q30" s="94"/>
      <c r="R30" s="95"/>
      <c r="S30" s="96"/>
      <c r="T30" s="96"/>
      <c r="U30" s="96"/>
      <c r="V30" s="96"/>
      <c r="W30" s="96"/>
      <c r="X30" s="97"/>
      <c r="Y30" s="96"/>
      <c r="Z30" s="96"/>
      <c r="AA30" s="96"/>
      <c r="AB30" s="96"/>
      <c r="AC30" s="96"/>
      <c r="AD30" s="97"/>
      <c r="AE30" s="98"/>
    </row>
    <row r="31" spans="1:31" x14ac:dyDescent="0.2">
      <c r="A31" s="90"/>
      <c r="B31" s="91"/>
      <c r="C31" s="92"/>
      <c r="D31" s="92"/>
      <c r="E31" s="92"/>
      <c r="F31" s="92">
        <f t="shared" si="1"/>
        <v>73.040000000000006</v>
      </c>
      <c r="G31" s="93"/>
      <c r="H31" s="93"/>
      <c r="I31" s="99">
        <v>630</v>
      </c>
      <c r="J31" s="94">
        <v>24</v>
      </c>
      <c r="K31" s="94">
        <v>30</v>
      </c>
      <c r="L31" s="94">
        <v>14</v>
      </c>
      <c r="M31" s="94">
        <v>25</v>
      </c>
      <c r="N31" s="94" t="s">
        <v>165</v>
      </c>
      <c r="O31" s="102">
        <v>0.13</v>
      </c>
      <c r="P31" s="103">
        <f t="shared" si="0"/>
        <v>888.16640000000007</v>
      </c>
      <c r="Q31" s="94"/>
      <c r="R31" s="95"/>
      <c r="S31" s="96"/>
      <c r="T31" s="96"/>
      <c r="U31" s="96"/>
      <c r="V31" s="96"/>
      <c r="W31" s="96"/>
      <c r="X31" s="97"/>
      <c r="Y31" s="96"/>
      <c r="Z31" s="96"/>
      <c r="AA31" s="96"/>
      <c r="AB31" s="96"/>
      <c r="AC31" s="96"/>
      <c r="AD31" s="97"/>
      <c r="AE31" s="98"/>
    </row>
    <row r="32" spans="1:31" x14ac:dyDescent="0.2">
      <c r="A32" s="90"/>
      <c r="B32" s="91"/>
      <c r="C32" s="92"/>
      <c r="D32" s="92"/>
      <c r="E32" s="92"/>
      <c r="F32" s="92">
        <f t="shared" si="1"/>
        <v>73.040000000000006</v>
      </c>
      <c r="G32" s="93"/>
      <c r="H32" s="93"/>
      <c r="I32" s="100">
        <v>650</v>
      </c>
      <c r="J32" s="94">
        <v>24</v>
      </c>
      <c r="K32" s="94">
        <v>30</v>
      </c>
      <c r="L32" s="94">
        <v>14</v>
      </c>
      <c r="M32" s="94">
        <v>25</v>
      </c>
      <c r="N32" s="94" t="s">
        <v>165</v>
      </c>
      <c r="O32" s="102">
        <v>0.13</v>
      </c>
      <c r="P32" s="103">
        <f t="shared" si="0"/>
        <v>888.16640000000007</v>
      </c>
      <c r="Q32" s="94"/>
      <c r="R32" s="95"/>
      <c r="S32" s="96"/>
      <c r="T32" s="96"/>
      <c r="U32" s="96"/>
      <c r="V32" s="96"/>
      <c r="W32" s="96"/>
      <c r="X32" s="97"/>
      <c r="Y32" s="96"/>
      <c r="Z32" s="96"/>
      <c r="AA32" s="96"/>
      <c r="AB32" s="96"/>
      <c r="AC32" s="96"/>
      <c r="AD32" s="97"/>
      <c r="AE32" s="98"/>
    </row>
    <row r="33" spans="1:31" x14ac:dyDescent="0.2">
      <c r="A33" s="90"/>
      <c r="B33" s="91"/>
      <c r="C33" s="92"/>
      <c r="D33" s="92"/>
      <c r="E33" s="92"/>
      <c r="F33" s="92">
        <f t="shared" si="1"/>
        <v>73.040000000000006</v>
      </c>
      <c r="G33" s="93"/>
      <c r="H33" s="93"/>
      <c r="I33" s="100">
        <v>680</v>
      </c>
      <c r="J33" s="94">
        <v>24</v>
      </c>
      <c r="K33" s="94">
        <v>30</v>
      </c>
      <c r="L33" s="94">
        <v>14</v>
      </c>
      <c r="M33" s="94">
        <v>25</v>
      </c>
      <c r="N33" s="94" t="s">
        <v>165</v>
      </c>
      <c r="O33" s="102">
        <v>0.13</v>
      </c>
      <c r="P33" s="103">
        <f t="shared" si="0"/>
        <v>888.16640000000007</v>
      </c>
      <c r="Q33" s="94"/>
      <c r="R33" s="95"/>
      <c r="S33" s="96"/>
      <c r="T33" s="96"/>
      <c r="U33" s="96"/>
      <c r="V33" s="96"/>
      <c r="W33" s="96"/>
      <c r="X33" s="97"/>
      <c r="Y33" s="96"/>
      <c r="Z33" s="96"/>
      <c r="AA33" s="96"/>
      <c r="AB33" s="96"/>
      <c r="AC33" s="96"/>
      <c r="AD33" s="97"/>
      <c r="AE33" s="98"/>
    </row>
    <row r="34" spans="1:31" x14ac:dyDescent="0.2">
      <c r="A34" s="90"/>
      <c r="B34" s="91"/>
      <c r="C34" s="92"/>
      <c r="D34" s="92"/>
      <c r="E34" s="92"/>
      <c r="F34" s="92">
        <f t="shared" si="1"/>
        <v>73.040000000000006</v>
      </c>
      <c r="G34" s="93"/>
      <c r="H34" s="93"/>
      <c r="I34" s="100">
        <v>700</v>
      </c>
      <c r="J34" s="94">
        <v>24</v>
      </c>
      <c r="K34" s="94">
        <v>30</v>
      </c>
      <c r="L34" s="94">
        <v>14</v>
      </c>
      <c r="M34" s="94">
        <v>25</v>
      </c>
      <c r="N34" s="94" t="s">
        <v>165</v>
      </c>
      <c r="O34" s="102">
        <v>0.13</v>
      </c>
      <c r="P34" s="103">
        <f t="shared" si="0"/>
        <v>888.16640000000007</v>
      </c>
      <c r="Q34" s="94"/>
      <c r="R34" s="95"/>
      <c r="S34" s="96"/>
      <c r="T34" s="96"/>
      <c r="U34" s="96"/>
      <c r="V34" s="96"/>
      <c r="W34" s="96"/>
      <c r="X34" s="97"/>
      <c r="Y34" s="96"/>
      <c r="Z34" s="96"/>
      <c r="AA34" s="96"/>
      <c r="AB34" s="96"/>
      <c r="AC34" s="96"/>
      <c r="AD34" s="97"/>
      <c r="AE34" s="98"/>
    </row>
    <row r="35" spans="1:31" x14ac:dyDescent="0.2">
      <c r="A35" s="90"/>
      <c r="B35" s="91"/>
      <c r="C35" s="92"/>
      <c r="D35" s="92"/>
      <c r="E35" s="92"/>
      <c r="F35" s="92">
        <f t="shared" si="1"/>
        <v>73.040000000000006</v>
      </c>
      <c r="G35" s="93"/>
      <c r="H35" s="93"/>
      <c r="I35" s="100">
        <v>750</v>
      </c>
      <c r="J35" s="94">
        <v>24</v>
      </c>
      <c r="K35" s="94">
        <v>30</v>
      </c>
      <c r="L35" s="94">
        <v>14</v>
      </c>
      <c r="M35" s="94">
        <v>25</v>
      </c>
      <c r="N35" s="94" t="s">
        <v>165</v>
      </c>
      <c r="O35" s="102">
        <v>0.13</v>
      </c>
      <c r="P35" s="103">
        <f t="shared" si="0"/>
        <v>888.16640000000007</v>
      </c>
      <c r="Q35" s="94"/>
      <c r="R35" s="95"/>
      <c r="S35" s="96"/>
      <c r="T35" s="96"/>
      <c r="U35" s="96"/>
      <c r="V35" s="96"/>
      <c r="W35" s="96"/>
      <c r="X35" s="97"/>
      <c r="Y35" s="96"/>
      <c r="Z35" s="96"/>
      <c r="AA35" s="96"/>
      <c r="AB35" s="96"/>
      <c r="AC35" s="96"/>
      <c r="AD35" s="97"/>
      <c r="AE35" s="98"/>
    </row>
    <row r="36" spans="1:31" x14ac:dyDescent="0.2">
      <c r="A36" s="90"/>
      <c r="B36" s="91"/>
      <c r="C36" s="92"/>
      <c r="D36" s="92"/>
      <c r="E36" s="92"/>
      <c r="F36" s="92">
        <f t="shared" si="1"/>
        <v>73.040000000000006</v>
      </c>
      <c r="G36" s="93"/>
      <c r="H36" s="93"/>
      <c r="I36" s="100">
        <v>800</v>
      </c>
      <c r="J36" s="94">
        <v>24</v>
      </c>
      <c r="K36" s="94">
        <v>30</v>
      </c>
      <c r="L36" s="94">
        <v>14</v>
      </c>
      <c r="M36" s="94">
        <v>25</v>
      </c>
      <c r="N36" s="94" t="s">
        <v>165</v>
      </c>
      <c r="O36" s="102">
        <v>0.13</v>
      </c>
      <c r="P36" s="103">
        <f t="shared" si="0"/>
        <v>888.16640000000007</v>
      </c>
      <c r="Q36" s="94"/>
      <c r="R36" s="95"/>
      <c r="S36" s="96"/>
      <c r="T36" s="96"/>
      <c r="U36" s="96"/>
      <c r="V36" s="96"/>
      <c r="W36" s="96"/>
      <c r="X36" s="97"/>
      <c r="Y36" s="96"/>
      <c r="Z36" s="96"/>
      <c r="AA36" s="96"/>
      <c r="AB36" s="96"/>
      <c r="AC36" s="96"/>
      <c r="AD36" s="97"/>
      <c r="AE36" s="98"/>
    </row>
    <row r="37" spans="1:31" x14ac:dyDescent="0.2">
      <c r="A37" s="90"/>
      <c r="B37" s="91"/>
      <c r="C37" s="92"/>
      <c r="D37" s="92"/>
      <c r="E37" s="92"/>
      <c r="F37" s="92">
        <f t="shared" si="1"/>
        <v>73.040000000000006</v>
      </c>
      <c r="G37" s="93"/>
      <c r="H37" s="93"/>
      <c r="I37" s="100">
        <v>850</v>
      </c>
      <c r="J37" s="94">
        <v>24</v>
      </c>
      <c r="K37" s="94">
        <v>30</v>
      </c>
      <c r="L37" s="94">
        <v>14</v>
      </c>
      <c r="M37" s="94">
        <v>25</v>
      </c>
      <c r="N37" s="94" t="s">
        <v>165</v>
      </c>
      <c r="O37" s="102">
        <v>0.13</v>
      </c>
      <c r="P37" s="103">
        <f t="shared" si="0"/>
        <v>888.16640000000007</v>
      </c>
      <c r="Q37" s="94"/>
      <c r="R37" s="95"/>
      <c r="S37" s="96"/>
      <c r="T37" s="96"/>
      <c r="U37" s="96"/>
      <c r="V37" s="96"/>
      <c r="W37" s="96"/>
      <c r="X37" s="97"/>
      <c r="Y37" s="96"/>
      <c r="Z37" s="96"/>
      <c r="AA37" s="96"/>
      <c r="AB37" s="96"/>
      <c r="AC37" s="96"/>
      <c r="AD37" s="97"/>
      <c r="AE37" s="98"/>
    </row>
    <row r="38" spans="1:31" x14ac:dyDescent="0.2">
      <c r="A38" s="90"/>
      <c r="B38" s="91"/>
      <c r="C38" s="92"/>
      <c r="D38" s="92"/>
      <c r="E38" s="92"/>
      <c r="F38" s="92">
        <f t="shared" si="1"/>
        <v>73.040000000000006</v>
      </c>
      <c r="G38" s="93"/>
      <c r="H38" s="93"/>
      <c r="I38" s="100">
        <v>900</v>
      </c>
      <c r="J38" s="94">
        <v>24</v>
      </c>
      <c r="K38" s="94">
        <v>30</v>
      </c>
      <c r="L38" s="94">
        <v>14</v>
      </c>
      <c r="M38" s="94">
        <v>25</v>
      </c>
      <c r="N38" s="94" t="s">
        <v>165</v>
      </c>
      <c r="O38" s="102">
        <v>0.13</v>
      </c>
      <c r="P38" s="103">
        <f t="shared" si="0"/>
        <v>888.16640000000007</v>
      </c>
      <c r="Q38" s="94"/>
      <c r="R38" s="95"/>
      <c r="S38" s="96"/>
      <c r="T38" s="96"/>
      <c r="U38" s="96"/>
      <c r="V38" s="96"/>
      <c r="W38" s="96"/>
      <c r="X38" s="97"/>
      <c r="Y38" s="96"/>
      <c r="Z38" s="96"/>
      <c r="AA38" s="96"/>
      <c r="AB38" s="96"/>
      <c r="AC38" s="96"/>
      <c r="AD38" s="97"/>
      <c r="AE38" s="98"/>
    </row>
    <row r="39" spans="1:31" x14ac:dyDescent="0.2">
      <c r="A39" s="90"/>
      <c r="B39" s="91"/>
      <c r="C39" s="92"/>
      <c r="D39" s="92"/>
      <c r="E39" s="92"/>
      <c r="F39" s="92">
        <f t="shared" si="1"/>
        <v>73.040000000000006</v>
      </c>
      <c r="G39" s="93"/>
      <c r="H39" s="93"/>
      <c r="I39" s="100">
        <v>1000</v>
      </c>
      <c r="J39" s="94">
        <v>24</v>
      </c>
      <c r="K39" s="94">
        <v>30</v>
      </c>
      <c r="L39" s="94">
        <v>14</v>
      </c>
      <c r="M39" s="94">
        <v>25</v>
      </c>
      <c r="N39" s="94" t="s">
        <v>165</v>
      </c>
      <c r="O39" s="102">
        <v>0.13</v>
      </c>
      <c r="P39" s="103">
        <f t="shared" si="0"/>
        <v>888.16640000000007</v>
      </c>
      <c r="Q39" s="94"/>
      <c r="R39" s="95"/>
      <c r="S39" s="96"/>
      <c r="T39" s="96"/>
      <c r="U39" s="96"/>
      <c r="V39" s="96"/>
      <c r="W39" s="96"/>
      <c r="X39" s="97"/>
      <c r="Y39" s="96"/>
      <c r="Z39" s="96"/>
      <c r="AA39" s="96"/>
      <c r="AB39" s="96"/>
      <c r="AC39" s="96"/>
      <c r="AD39" s="97"/>
      <c r="AE39" s="98"/>
    </row>
    <row r="40" spans="1:31" x14ac:dyDescent="0.2">
      <c r="A40" s="90"/>
      <c r="B40" s="91"/>
      <c r="C40" s="92"/>
      <c r="D40" s="92"/>
      <c r="E40" s="92"/>
      <c r="F40" s="92">
        <f t="shared" si="1"/>
        <v>73.040000000000006</v>
      </c>
      <c r="G40" s="93"/>
      <c r="H40" s="93"/>
      <c r="I40" s="100">
        <v>1200</v>
      </c>
      <c r="J40" s="94">
        <v>24</v>
      </c>
      <c r="K40" s="94">
        <v>30</v>
      </c>
      <c r="L40" s="94">
        <v>14</v>
      </c>
      <c r="M40" s="94">
        <v>25</v>
      </c>
      <c r="N40" s="94" t="s">
        <v>165</v>
      </c>
      <c r="O40" s="102">
        <v>0.13</v>
      </c>
      <c r="P40" s="103">
        <f t="shared" si="0"/>
        <v>888.16640000000007</v>
      </c>
      <c r="Q40" s="94"/>
      <c r="R40" s="95"/>
      <c r="S40" s="96"/>
      <c r="T40" s="96"/>
      <c r="U40" s="96"/>
      <c r="V40" s="96"/>
      <c r="W40" s="96"/>
      <c r="X40" s="97"/>
      <c r="Y40" s="96"/>
      <c r="Z40" s="96"/>
      <c r="AA40" s="96"/>
      <c r="AB40" s="96"/>
      <c r="AC40" s="96"/>
      <c r="AD40" s="97"/>
      <c r="AE40" s="98"/>
    </row>
    <row r="41" spans="1:31" ht="13.5" thickBot="1" x14ac:dyDescent="0.25">
      <c r="A41" s="90"/>
      <c r="B41" s="91"/>
      <c r="C41" s="92"/>
      <c r="D41" s="92"/>
      <c r="E41" s="92"/>
      <c r="F41" s="92">
        <f t="shared" si="1"/>
        <v>73.040000000000006</v>
      </c>
      <c r="G41" s="93"/>
      <c r="H41" s="93"/>
      <c r="I41" s="101">
        <v>1300</v>
      </c>
      <c r="J41" s="94">
        <v>24</v>
      </c>
      <c r="K41" s="94">
        <v>30</v>
      </c>
      <c r="L41" s="94">
        <v>14</v>
      </c>
      <c r="M41" s="94">
        <v>25</v>
      </c>
      <c r="N41" s="94" t="s">
        <v>165</v>
      </c>
      <c r="O41" s="102">
        <v>0.13</v>
      </c>
      <c r="P41" s="103">
        <f t="shared" si="0"/>
        <v>888.16640000000007</v>
      </c>
      <c r="Q41" s="94"/>
      <c r="R41" s="95"/>
      <c r="S41" s="96"/>
      <c r="T41" s="96"/>
      <c r="U41" s="96"/>
      <c r="V41" s="96"/>
      <c r="W41" s="96"/>
      <c r="X41" s="97"/>
      <c r="Y41" s="96"/>
      <c r="Z41" s="96"/>
      <c r="AA41" s="96"/>
      <c r="AB41" s="96"/>
      <c r="AC41" s="96"/>
      <c r="AD41" s="97"/>
      <c r="AE41" s="98"/>
    </row>
    <row r="42" spans="1:31" x14ac:dyDescent="0.2">
      <c r="A42" s="61"/>
      <c r="B42" s="62"/>
      <c r="C42" s="63"/>
      <c r="D42" s="63"/>
      <c r="E42" s="63"/>
      <c r="F42" s="92">
        <f t="shared" si="1"/>
        <v>73.040000000000006</v>
      </c>
      <c r="G42" s="64"/>
      <c r="H42" s="64"/>
      <c r="I42" s="85">
        <v>1350</v>
      </c>
      <c r="J42" s="94">
        <v>24</v>
      </c>
      <c r="K42" s="94">
        <v>30</v>
      </c>
      <c r="L42" s="94">
        <v>14</v>
      </c>
      <c r="M42" s="94">
        <v>25</v>
      </c>
      <c r="N42" s="94" t="s">
        <v>165</v>
      </c>
      <c r="O42" s="102">
        <v>0.13</v>
      </c>
      <c r="P42" s="103">
        <f t="shared" si="0"/>
        <v>888.16640000000007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5"/>
    </row>
    <row r="43" spans="1:31" x14ac:dyDescent="0.2">
      <c r="A43" s="66"/>
      <c r="B43" s="62"/>
      <c r="C43" s="63"/>
      <c r="D43" s="67"/>
      <c r="E43" s="63"/>
      <c r="F43" s="92">
        <f t="shared" si="1"/>
        <v>73.040000000000006</v>
      </c>
      <c r="G43" s="64"/>
      <c r="H43" s="64"/>
      <c r="I43" s="100">
        <v>1370</v>
      </c>
      <c r="J43" s="94">
        <v>24</v>
      </c>
      <c r="K43" s="94">
        <v>30</v>
      </c>
      <c r="L43" s="94">
        <v>14</v>
      </c>
      <c r="M43" s="94">
        <v>25</v>
      </c>
      <c r="N43" s="94" t="s">
        <v>165</v>
      </c>
      <c r="O43" s="102">
        <v>0.13</v>
      </c>
      <c r="P43" s="103">
        <f t="shared" si="0"/>
        <v>888.16640000000007</v>
      </c>
      <c r="Q43" s="68"/>
      <c r="R43" s="68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0"/>
    </row>
    <row r="44" spans="1:31" x14ac:dyDescent="0.2">
      <c r="A44" s="66"/>
      <c r="B44" s="62"/>
      <c r="C44" s="63"/>
      <c r="D44" s="67"/>
      <c r="E44" s="63"/>
      <c r="F44" s="92">
        <f t="shared" si="1"/>
        <v>73.040000000000006</v>
      </c>
      <c r="G44" s="64"/>
      <c r="H44" s="64"/>
      <c r="I44" s="100">
        <v>1400</v>
      </c>
      <c r="J44" s="94">
        <v>24</v>
      </c>
      <c r="K44" s="94">
        <v>30</v>
      </c>
      <c r="L44" s="94">
        <v>14</v>
      </c>
      <c r="M44" s="94">
        <v>25</v>
      </c>
      <c r="N44" s="94" t="s">
        <v>165</v>
      </c>
      <c r="O44" s="102">
        <v>0.13</v>
      </c>
      <c r="P44" s="103">
        <f t="shared" si="0"/>
        <v>888.16640000000007</v>
      </c>
      <c r="Q44" s="68"/>
      <c r="R44" s="68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70"/>
    </row>
    <row r="45" spans="1:31" x14ac:dyDescent="0.2">
      <c r="A45" s="66"/>
      <c r="B45" s="62"/>
      <c r="C45" s="63"/>
      <c r="D45" s="67"/>
      <c r="E45" s="63"/>
      <c r="F45" s="92">
        <f t="shared" si="1"/>
        <v>73.040000000000006</v>
      </c>
      <c r="G45" s="64"/>
      <c r="H45" s="64"/>
      <c r="I45" s="100">
        <v>1744</v>
      </c>
      <c r="J45" s="94">
        <v>24</v>
      </c>
      <c r="K45" s="94">
        <v>30</v>
      </c>
      <c r="L45" s="94">
        <v>14</v>
      </c>
      <c r="M45" s="94">
        <v>25</v>
      </c>
      <c r="N45" s="94" t="s">
        <v>165</v>
      </c>
      <c r="O45" s="102">
        <v>0.13</v>
      </c>
      <c r="P45" s="103">
        <f t="shared" si="0"/>
        <v>888.16640000000007</v>
      </c>
      <c r="Q45" s="68"/>
      <c r="R45" s="68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</row>
    <row r="46" spans="1:31" x14ac:dyDescent="0.2">
      <c r="A46" s="66"/>
      <c r="B46" s="62"/>
      <c r="C46" s="63"/>
      <c r="D46" s="67"/>
      <c r="E46" s="63"/>
      <c r="F46" s="92">
        <f t="shared" si="1"/>
        <v>73.040000000000006</v>
      </c>
      <c r="G46" s="64"/>
      <c r="H46" s="64"/>
      <c r="I46" s="100">
        <v>1750</v>
      </c>
      <c r="J46" s="94">
        <v>24</v>
      </c>
      <c r="K46" s="94">
        <v>30</v>
      </c>
      <c r="L46" s="94">
        <v>14</v>
      </c>
      <c r="M46" s="94">
        <v>25</v>
      </c>
      <c r="N46" s="94" t="s">
        <v>165</v>
      </c>
      <c r="O46" s="102">
        <v>0.13</v>
      </c>
      <c r="P46" s="103">
        <f t="shared" si="0"/>
        <v>888.16640000000007</v>
      </c>
      <c r="Q46" s="71"/>
      <c r="R46" s="64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</row>
    <row r="47" spans="1:31" x14ac:dyDescent="0.2">
      <c r="A47" s="66"/>
      <c r="B47" s="62"/>
      <c r="C47" s="63"/>
      <c r="D47" s="67"/>
      <c r="E47" s="63"/>
      <c r="F47" s="92">
        <f t="shared" si="1"/>
        <v>73.040000000000006</v>
      </c>
      <c r="G47" s="64"/>
      <c r="H47" s="64"/>
      <c r="I47" s="100">
        <v>1800</v>
      </c>
      <c r="J47" s="94">
        <v>24</v>
      </c>
      <c r="K47" s="94">
        <v>30</v>
      </c>
      <c r="L47" s="94">
        <v>14</v>
      </c>
      <c r="M47" s="94">
        <v>25</v>
      </c>
      <c r="N47" s="94" t="s">
        <v>165</v>
      </c>
      <c r="O47" s="102">
        <v>0.13</v>
      </c>
      <c r="P47" s="103">
        <f t="shared" si="0"/>
        <v>888.16640000000007</v>
      </c>
      <c r="Q47" s="71"/>
      <c r="R47" s="64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</row>
    <row r="48" spans="1:31" x14ac:dyDescent="0.2">
      <c r="A48" s="66"/>
      <c r="B48" s="62"/>
      <c r="C48" s="63"/>
      <c r="D48" s="67"/>
      <c r="E48" s="63"/>
      <c r="F48" s="92">
        <f t="shared" si="1"/>
        <v>73.040000000000006</v>
      </c>
      <c r="G48" s="64"/>
      <c r="H48" s="64"/>
      <c r="I48" s="100">
        <v>1815</v>
      </c>
      <c r="J48" s="94">
        <v>24</v>
      </c>
      <c r="K48" s="94">
        <v>30</v>
      </c>
      <c r="L48" s="94">
        <v>14</v>
      </c>
      <c r="M48" s="94">
        <v>25</v>
      </c>
      <c r="N48" s="94" t="s">
        <v>165</v>
      </c>
      <c r="O48" s="102">
        <v>0.13</v>
      </c>
      <c r="P48" s="103">
        <f t="shared" si="0"/>
        <v>888.16640000000007</v>
      </c>
      <c r="Q48" s="71"/>
      <c r="R48" s="64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0"/>
    </row>
    <row r="49" spans="1:31" x14ac:dyDescent="0.2">
      <c r="A49" s="66"/>
      <c r="B49" s="62"/>
      <c r="C49" s="63"/>
      <c r="D49" s="67"/>
      <c r="E49" s="63"/>
      <c r="F49" s="92">
        <f t="shared" si="1"/>
        <v>73.040000000000006</v>
      </c>
      <c r="G49" s="64"/>
      <c r="H49" s="64"/>
      <c r="I49" s="100">
        <v>1826</v>
      </c>
      <c r="J49" s="94">
        <v>24</v>
      </c>
      <c r="K49" s="94">
        <v>30</v>
      </c>
      <c r="L49" s="94">
        <v>14</v>
      </c>
      <c r="M49" s="94">
        <v>25</v>
      </c>
      <c r="N49" s="94" t="s">
        <v>165</v>
      </c>
      <c r="O49" s="102">
        <v>0.13</v>
      </c>
      <c r="P49" s="103">
        <f t="shared" si="0"/>
        <v>888.16640000000007</v>
      </c>
      <c r="Q49" s="71"/>
      <c r="R49" s="72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</row>
    <row r="50" spans="1:31" x14ac:dyDescent="0.2">
      <c r="A50" s="66"/>
      <c r="B50" s="62"/>
      <c r="C50" s="63"/>
      <c r="D50" s="67"/>
      <c r="E50" s="63"/>
      <c r="F50" s="92">
        <f t="shared" si="1"/>
        <v>73.040000000000006</v>
      </c>
      <c r="G50" s="64"/>
      <c r="H50" s="64"/>
      <c r="I50" s="100">
        <v>1826</v>
      </c>
      <c r="J50" s="94">
        <v>24</v>
      </c>
      <c r="K50" s="94">
        <v>30</v>
      </c>
      <c r="L50" s="94">
        <v>14</v>
      </c>
      <c r="M50" s="94">
        <v>25</v>
      </c>
      <c r="N50" s="94" t="s">
        <v>165</v>
      </c>
      <c r="O50" s="102">
        <v>0.13</v>
      </c>
      <c r="P50" s="103">
        <f t="shared" si="0"/>
        <v>888.16640000000007</v>
      </c>
      <c r="Q50" s="71"/>
      <c r="R50" s="72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</row>
    <row r="51" spans="1:31" x14ac:dyDescent="0.2">
      <c r="A51" s="74"/>
      <c r="B51" s="75"/>
      <c r="C51" s="76"/>
      <c r="D51" s="76"/>
      <c r="E51" s="76"/>
      <c r="F51" s="77"/>
      <c r="G51" s="78"/>
      <c r="H51" s="78"/>
      <c r="I51" s="78"/>
      <c r="J51" s="78"/>
      <c r="K51" s="79"/>
      <c r="L51" s="80"/>
      <c r="M51" s="81"/>
      <c r="N51" s="75"/>
      <c r="O51" s="78"/>
      <c r="P51" s="79"/>
      <c r="Q51" s="82"/>
      <c r="R51" s="78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 x14ac:dyDescent="0.2">
      <c r="A52" s="84" t="s">
        <v>167</v>
      </c>
      <c r="B52" s="75"/>
      <c r="C52" s="76"/>
      <c r="D52" s="76"/>
      <c r="E52" s="76"/>
      <c r="F52" s="77"/>
      <c r="G52" s="78"/>
      <c r="H52" s="78"/>
      <c r="I52" s="78"/>
      <c r="J52" s="78"/>
      <c r="K52" s="79"/>
      <c r="L52" s="80"/>
      <c r="M52" s="81"/>
      <c r="N52" s="75"/>
      <c r="O52" s="78"/>
      <c r="P52" s="79"/>
      <c r="Q52" s="78"/>
      <c r="R52" s="78"/>
      <c r="S52" s="78"/>
      <c r="T52" s="78"/>
      <c r="U52" s="78"/>
      <c r="V52" s="78"/>
      <c r="W52" s="78"/>
      <c r="X52" s="85"/>
      <c r="Y52" s="78"/>
      <c r="Z52" s="78"/>
      <c r="AA52" s="78"/>
      <c r="AB52" s="78"/>
      <c r="AC52" s="78"/>
      <c r="AD52" s="78"/>
      <c r="AE52" s="85"/>
    </row>
    <row r="53" spans="1:31" x14ac:dyDescent="0.2">
      <c r="A53" s="74"/>
      <c r="B53" s="75"/>
      <c r="C53" s="76"/>
      <c r="D53" s="76"/>
      <c r="E53" s="76"/>
      <c r="F53" s="77"/>
      <c r="G53" s="78"/>
      <c r="H53" s="78"/>
      <c r="I53" s="78"/>
      <c r="J53" s="78"/>
      <c r="K53" s="79"/>
      <c r="L53" s="79"/>
      <c r="M53" s="86"/>
      <c r="N53" s="75"/>
      <c r="O53" s="78"/>
      <c r="P53" s="79"/>
      <c r="Q53" s="78"/>
      <c r="R53" s="78"/>
      <c r="S53" s="78"/>
      <c r="T53" s="78"/>
      <c r="U53" s="78"/>
      <c r="V53" s="78"/>
      <c r="W53" s="78"/>
      <c r="X53" s="85"/>
      <c r="Y53" s="78"/>
      <c r="Z53" s="78"/>
      <c r="AA53" s="78"/>
      <c r="AB53" s="78"/>
      <c r="AC53" s="78"/>
      <c r="AD53" s="78"/>
      <c r="AE53" s="85"/>
    </row>
    <row r="54" spans="1:31" x14ac:dyDescent="0.2">
      <c r="A54" s="87" t="s">
        <v>78</v>
      </c>
      <c r="B54" s="87"/>
      <c r="C54" s="87"/>
      <c r="D54" s="87"/>
      <c r="E54" s="87"/>
      <c r="F54" s="87"/>
      <c r="G54" s="87"/>
      <c r="H54" s="87"/>
      <c r="I54" s="87"/>
      <c r="J54" s="87"/>
      <c r="K54" s="88"/>
      <c r="L54" s="88"/>
      <c r="M54" s="87"/>
      <c r="N54" s="87"/>
      <c r="O54" s="87"/>
      <c r="P54" s="88"/>
      <c r="Q54" s="87"/>
      <c r="R54" s="87"/>
      <c r="S54" s="87"/>
      <c r="T54" s="87"/>
      <c r="U54" s="87"/>
      <c r="V54" s="87"/>
      <c r="W54" s="87"/>
      <c r="X54" s="83"/>
      <c r="Y54" s="87"/>
      <c r="Z54" s="87"/>
      <c r="AA54" s="87"/>
      <c r="AB54" s="87"/>
      <c r="AC54" s="87"/>
      <c r="AD54" s="87"/>
      <c r="AE54" s="83"/>
    </row>
    <row r="55" spans="1:31" x14ac:dyDescent="0.2">
      <c r="A55" s="87" t="s">
        <v>168</v>
      </c>
      <c r="B55" s="87"/>
      <c r="C55" s="87"/>
      <c r="D55" s="87" t="s">
        <v>186</v>
      </c>
      <c r="E55" s="87"/>
      <c r="F55" s="87"/>
      <c r="G55" s="87"/>
      <c r="H55" s="87"/>
      <c r="I55" s="87"/>
      <c r="J55" s="87"/>
      <c r="K55" s="88"/>
      <c r="L55" s="88"/>
      <c r="M55" s="87"/>
      <c r="N55" s="87"/>
      <c r="O55" s="87"/>
      <c r="P55" s="88"/>
      <c r="Q55" s="87"/>
      <c r="R55" s="87"/>
      <c r="S55" s="87"/>
      <c r="T55" s="87"/>
      <c r="U55" s="87"/>
      <c r="V55" s="87"/>
      <c r="W55" s="87"/>
      <c r="X55" s="83"/>
      <c r="Y55" s="87"/>
      <c r="Z55" s="87"/>
      <c r="AA55" s="87"/>
      <c r="AB55" s="87"/>
      <c r="AC55" s="87"/>
      <c r="AD55" s="87"/>
      <c r="AE55" s="83"/>
    </row>
    <row r="56" spans="1:31" x14ac:dyDescent="0.2">
      <c r="A56" s="87" t="s">
        <v>169</v>
      </c>
      <c r="B56" s="87"/>
      <c r="C56" s="87"/>
      <c r="D56" s="87"/>
      <c r="E56" s="87"/>
      <c r="F56" s="87"/>
      <c r="G56" s="87"/>
      <c r="H56" s="87"/>
      <c r="I56" s="87"/>
      <c r="J56" s="87"/>
      <c r="K56" s="88"/>
      <c r="L56" s="88"/>
      <c r="M56" s="87"/>
      <c r="N56" s="87"/>
      <c r="O56" s="87"/>
      <c r="P56" s="88"/>
      <c r="Q56" s="87"/>
      <c r="R56" s="87"/>
      <c r="S56" s="87"/>
      <c r="T56" s="87"/>
      <c r="U56" s="87"/>
      <c r="V56" s="87"/>
      <c r="W56" s="87"/>
      <c r="X56" s="83"/>
      <c r="Y56" s="87"/>
      <c r="Z56" s="87"/>
      <c r="AA56" s="87"/>
      <c r="AB56" s="87"/>
      <c r="AC56" s="87"/>
      <c r="AD56" s="87"/>
      <c r="AE56" s="83"/>
    </row>
    <row r="57" spans="1:31" x14ac:dyDescent="0.2">
      <c r="A57" s="87" t="s">
        <v>170</v>
      </c>
      <c r="B57" s="87"/>
      <c r="C57" s="87"/>
      <c r="D57" s="87"/>
      <c r="E57" s="87"/>
      <c r="F57" s="87"/>
      <c r="G57" s="87"/>
      <c r="H57" s="87"/>
      <c r="I57" s="87"/>
      <c r="J57" s="87"/>
      <c r="K57" s="88"/>
      <c r="L57" s="88"/>
      <c r="M57" s="87"/>
      <c r="N57" s="87"/>
      <c r="O57" s="87"/>
      <c r="P57" s="88"/>
      <c r="Q57" s="87"/>
      <c r="R57" s="87"/>
      <c r="S57" s="87"/>
      <c r="T57" s="87"/>
      <c r="U57" s="87"/>
      <c r="V57" s="87"/>
      <c r="W57" s="87"/>
      <c r="X57" s="83"/>
      <c r="Y57" s="87"/>
      <c r="Z57" s="87"/>
      <c r="AA57" s="87"/>
      <c r="AB57" s="87"/>
      <c r="AC57" s="87"/>
      <c r="AD57" s="87"/>
      <c r="AE57" s="87"/>
    </row>
    <row r="58" spans="1:31" x14ac:dyDescent="0.2">
      <c r="A58" s="87" t="s">
        <v>171</v>
      </c>
      <c r="B58" s="87"/>
      <c r="C58" s="87"/>
      <c r="D58" s="87"/>
      <c r="E58" s="87"/>
      <c r="F58" s="87"/>
      <c r="G58" s="87"/>
      <c r="H58" s="87"/>
      <c r="I58" s="87"/>
      <c r="J58" s="87"/>
      <c r="K58" s="88"/>
      <c r="L58" s="88"/>
      <c r="M58" s="87"/>
      <c r="N58" s="87"/>
      <c r="O58" s="87"/>
      <c r="P58" s="88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">
      <c r="A59" s="87" t="s">
        <v>172</v>
      </c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7"/>
      <c r="N59" s="87"/>
      <c r="O59" s="87"/>
      <c r="P59" s="88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">
      <c r="A60" s="87" t="s">
        <v>173</v>
      </c>
      <c r="B60" s="87"/>
      <c r="C60" s="87"/>
      <c r="D60" s="87"/>
      <c r="E60" s="87"/>
      <c r="F60" s="87"/>
      <c r="G60" s="87"/>
      <c r="H60" s="87"/>
      <c r="I60" s="87"/>
      <c r="J60" s="87"/>
      <c r="K60" s="88"/>
      <c r="L60" s="88"/>
      <c r="M60" s="87"/>
      <c r="N60" s="87"/>
      <c r="O60" s="87"/>
      <c r="P60" s="88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">
      <c r="A61" s="87" t="s">
        <v>174</v>
      </c>
      <c r="B61" s="87"/>
      <c r="C61" s="87"/>
      <c r="D61" s="87"/>
      <c r="E61" s="87"/>
      <c r="F61" s="87" t="s">
        <v>187</v>
      </c>
      <c r="G61" s="87"/>
      <c r="H61" s="87"/>
      <c r="I61" s="87"/>
      <c r="J61" s="87"/>
      <c r="K61" s="88"/>
      <c r="L61" s="88"/>
      <c r="M61" s="87"/>
      <c r="N61" s="87"/>
      <c r="O61" s="87"/>
      <c r="P61" s="88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">
      <c r="A62" s="87" t="s">
        <v>175</v>
      </c>
      <c r="B62" s="87"/>
      <c r="C62" s="87"/>
      <c r="D62" s="87"/>
      <c r="E62" s="87" t="s">
        <v>188</v>
      </c>
      <c r="F62" s="87"/>
      <c r="G62" s="87"/>
      <c r="H62" s="87"/>
      <c r="I62" s="87"/>
      <c r="J62" s="87"/>
      <c r="K62" s="88"/>
      <c r="L62" s="88"/>
      <c r="M62" s="87"/>
      <c r="N62" s="87"/>
      <c r="O62" s="87"/>
      <c r="P62" s="88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">
      <c r="A63" s="87" t="s">
        <v>176</v>
      </c>
      <c r="B63" s="87"/>
      <c r="C63" s="87"/>
      <c r="D63" s="87"/>
      <c r="E63" s="87" t="s">
        <v>189</v>
      </c>
      <c r="F63" s="87"/>
      <c r="G63" s="87"/>
      <c r="H63" s="87"/>
      <c r="I63" s="87"/>
      <c r="J63" s="87"/>
      <c r="K63" s="88"/>
      <c r="L63" s="88"/>
      <c r="M63" s="87"/>
      <c r="N63" s="87"/>
      <c r="O63" s="87"/>
      <c r="P63" s="88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">
      <c r="A64" s="87" t="s">
        <v>177</v>
      </c>
      <c r="B64" s="87"/>
      <c r="C64" s="87"/>
      <c r="D64" s="87"/>
      <c r="E64" s="87"/>
      <c r="F64" s="87"/>
      <c r="G64" s="87"/>
      <c r="H64" s="87"/>
      <c r="I64" s="87"/>
      <c r="J64" s="87"/>
      <c r="K64" s="88"/>
      <c r="L64" s="88"/>
      <c r="M64" s="87"/>
      <c r="N64" s="87"/>
      <c r="O64" s="87"/>
      <c r="P64" s="88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">
      <c r="A65" s="87"/>
      <c r="B65" s="87"/>
      <c r="C65" s="87"/>
      <c r="D65" s="87"/>
      <c r="E65" s="87" t="s">
        <v>190</v>
      </c>
      <c r="F65" s="87"/>
      <c r="G65" s="87"/>
      <c r="H65" s="87"/>
      <c r="I65" s="87"/>
      <c r="J65" s="87"/>
      <c r="K65" s="88"/>
      <c r="L65" s="88"/>
      <c r="M65" s="87"/>
      <c r="N65" s="87"/>
      <c r="O65" s="87"/>
      <c r="P65" s="88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">
      <c r="A66" s="87"/>
      <c r="B66" s="87"/>
      <c r="C66" s="87"/>
      <c r="D66" s="87"/>
      <c r="E66" s="87" t="s">
        <v>191</v>
      </c>
      <c r="F66" s="87"/>
      <c r="G66" s="87"/>
      <c r="H66" s="87"/>
      <c r="I66" s="87"/>
      <c r="J66" s="87"/>
      <c r="K66" s="88"/>
      <c r="L66" s="88"/>
      <c r="M66" s="87"/>
      <c r="N66" s="87"/>
      <c r="O66" s="87"/>
      <c r="P66" s="88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8"/>
      <c r="L67" s="88"/>
      <c r="M67" s="87"/>
      <c r="N67" s="87"/>
      <c r="O67" s="87"/>
      <c r="P67" s="88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8"/>
      <c r="L68" s="88"/>
      <c r="M68" s="87"/>
      <c r="N68" s="87"/>
      <c r="O68" s="87"/>
      <c r="P68" s="88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8"/>
      <c r="L69" s="88"/>
      <c r="M69" s="87"/>
      <c r="N69" s="87"/>
      <c r="O69" s="87"/>
      <c r="P69" s="88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8"/>
      <c r="L70" s="88"/>
      <c r="M70" s="87"/>
      <c r="N70" s="87"/>
      <c r="O70" s="87"/>
      <c r="P70" s="88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8"/>
      <c r="L71" s="88"/>
      <c r="M71" s="87"/>
      <c r="N71" s="87"/>
      <c r="O71" s="87"/>
      <c r="P71" s="88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8"/>
      <c r="L72" s="88"/>
      <c r="M72" s="87"/>
      <c r="N72" s="87"/>
      <c r="O72" s="87"/>
      <c r="P72" s="88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8"/>
      <c r="L73" s="88"/>
      <c r="M73" s="87"/>
      <c r="N73" s="87"/>
      <c r="O73" s="87"/>
      <c r="P73" s="88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8"/>
      <c r="L74" s="88"/>
      <c r="M74" s="87"/>
      <c r="N74" s="87"/>
      <c r="O74" s="87"/>
      <c r="P74" s="88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8"/>
      <c r="L75" s="88"/>
      <c r="M75" s="87"/>
      <c r="N75" s="87"/>
      <c r="O75" s="87"/>
      <c r="P75" s="88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8"/>
      <c r="L76" s="88"/>
      <c r="M76" s="87"/>
      <c r="N76" s="87"/>
      <c r="O76" s="87"/>
      <c r="P76" s="88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8"/>
      <c r="L77" s="88"/>
      <c r="M77" s="87"/>
      <c r="N77" s="87"/>
      <c r="O77" s="87"/>
      <c r="P77" s="88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8"/>
      <c r="L78" s="88"/>
      <c r="M78" s="87"/>
      <c r="N78" s="87"/>
      <c r="O78" s="87"/>
      <c r="P78" s="88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8"/>
      <c r="L79" s="88"/>
      <c r="M79" s="87"/>
      <c r="N79" s="87"/>
      <c r="O79" s="87"/>
      <c r="P79" s="88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8"/>
      <c r="L80" s="88"/>
      <c r="M80" s="87"/>
      <c r="N80" s="87"/>
      <c r="O80" s="87"/>
      <c r="P80" s="88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8"/>
      <c r="L81" s="88"/>
      <c r="M81" s="87"/>
      <c r="N81" s="87"/>
      <c r="O81" s="87"/>
      <c r="P81" s="88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8"/>
      <c r="L82" s="88"/>
      <c r="M82" s="87"/>
      <c r="N82" s="87"/>
      <c r="O82" s="87"/>
      <c r="P82" s="88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8"/>
      <c r="L83" s="88"/>
      <c r="M83" s="87"/>
      <c r="N83" s="87"/>
      <c r="O83" s="87"/>
      <c r="P83" s="88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8"/>
      <c r="L84" s="88"/>
      <c r="M84" s="87"/>
      <c r="N84" s="87"/>
      <c r="O84" s="87"/>
      <c r="P84" s="88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8"/>
      <c r="L85" s="88"/>
      <c r="M85" s="87"/>
      <c r="N85" s="87"/>
      <c r="O85" s="87"/>
      <c r="P85" s="88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8"/>
      <c r="L86" s="88"/>
      <c r="M86" s="87"/>
      <c r="N86" s="87"/>
      <c r="O86" s="87"/>
      <c r="P86" s="88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8"/>
      <c r="L87" s="88"/>
      <c r="M87" s="87"/>
      <c r="N87" s="87"/>
      <c r="O87" s="87"/>
      <c r="P87" s="88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8"/>
      <c r="L88" s="88"/>
      <c r="M88" s="87"/>
      <c r="N88" s="87"/>
      <c r="O88" s="87"/>
      <c r="P88" s="88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8"/>
      <c r="L89" s="88"/>
      <c r="M89" s="87"/>
      <c r="N89" s="87"/>
      <c r="O89" s="87"/>
      <c r="P89" s="88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8"/>
      <c r="L90" s="88"/>
      <c r="M90" s="87"/>
      <c r="N90" s="87"/>
      <c r="O90" s="87"/>
      <c r="P90" s="88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8"/>
      <c r="L91" s="88"/>
      <c r="M91" s="87"/>
      <c r="N91" s="87"/>
      <c r="O91" s="87"/>
      <c r="P91" s="88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8"/>
      <c r="L92" s="88"/>
      <c r="M92" s="87"/>
      <c r="N92" s="87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8"/>
      <c r="L93" s="88"/>
      <c r="M93" s="87"/>
      <c r="N93" s="87"/>
      <c r="O93" s="87"/>
      <c r="P93" s="88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8"/>
      <c r="L94" s="88"/>
      <c r="M94" s="87"/>
      <c r="N94" s="87"/>
      <c r="O94" s="87"/>
      <c r="P94" s="88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8"/>
      <c r="L95" s="88"/>
      <c r="M95" s="87"/>
      <c r="N95" s="87"/>
      <c r="O95" s="87"/>
      <c r="P95" s="88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8"/>
      <c r="L96" s="88"/>
      <c r="M96" s="87"/>
      <c r="N96" s="87"/>
      <c r="O96" s="87"/>
      <c r="P96" s="88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8"/>
      <c r="L97" s="88"/>
      <c r="M97" s="87"/>
      <c r="N97" s="87"/>
      <c r="O97" s="87"/>
      <c r="P97" s="88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8"/>
      <c r="L98" s="88"/>
      <c r="M98" s="87"/>
      <c r="N98" s="87"/>
      <c r="O98" s="87"/>
      <c r="P98" s="88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8"/>
      <c r="L99" s="88"/>
      <c r="M99" s="87"/>
      <c r="N99" s="87"/>
      <c r="O99" s="87"/>
      <c r="P99" s="88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8"/>
      <c r="L100" s="88"/>
      <c r="M100" s="87"/>
      <c r="N100" s="87"/>
      <c r="O100" s="87"/>
      <c r="P100" s="88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8"/>
      <c r="L101" s="88"/>
      <c r="M101" s="87"/>
      <c r="N101" s="87"/>
      <c r="O101" s="87"/>
      <c r="P101" s="88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8"/>
      <c r="L102" s="88"/>
      <c r="M102" s="87"/>
      <c r="N102" s="87"/>
      <c r="O102" s="87"/>
      <c r="P102" s="88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8"/>
      <c r="L103" s="88"/>
      <c r="M103" s="87"/>
      <c r="N103" s="87"/>
      <c r="O103" s="87"/>
      <c r="P103" s="88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8"/>
      <c r="L104" s="88"/>
      <c r="M104" s="87"/>
      <c r="N104" s="87"/>
      <c r="O104" s="87"/>
      <c r="P104" s="88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8"/>
      <c r="L105" s="88"/>
      <c r="M105" s="87"/>
      <c r="N105" s="87"/>
      <c r="O105" s="87"/>
      <c r="P105" s="88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8"/>
      <c r="L106" s="88"/>
      <c r="M106" s="87"/>
      <c r="N106" s="87"/>
      <c r="O106" s="87"/>
      <c r="P106" s="88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8"/>
      <c r="L107" s="88"/>
      <c r="M107" s="87"/>
      <c r="N107" s="87"/>
      <c r="O107" s="87"/>
      <c r="P107" s="88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8"/>
      <c r="L108" s="88"/>
      <c r="M108" s="87"/>
      <c r="N108" s="87"/>
      <c r="O108" s="87"/>
      <c r="P108" s="88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8"/>
      <c r="L109" s="88"/>
      <c r="M109" s="87"/>
      <c r="N109" s="87"/>
      <c r="O109" s="87"/>
      <c r="P109" s="88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8"/>
      <c r="L110" s="88"/>
      <c r="M110" s="87"/>
      <c r="N110" s="87"/>
      <c r="O110" s="87"/>
      <c r="P110" s="88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8"/>
      <c r="L111" s="88"/>
      <c r="M111" s="87"/>
      <c r="N111" s="87"/>
      <c r="O111" s="87"/>
      <c r="P111" s="88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8"/>
      <c r="L112" s="88"/>
      <c r="M112" s="87"/>
      <c r="N112" s="87"/>
      <c r="O112" s="87"/>
      <c r="P112" s="88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8"/>
      <c r="L113" s="88"/>
      <c r="M113" s="87"/>
      <c r="N113" s="87"/>
      <c r="O113" s="87"/>
      <c r="P113" s="88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8"/>
      <c r="L114" s="88"/>
      <c r="M114" s="87"/>
      <c r="N114" s="87"/>
      <c r="O114" s="87"/>
      <c r="P114" s="88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8"/>
      <c r="L115" s="88"/>
      <c r="M115" s="87"/>
      <c r="N115" s="87"/>
      <c r="O115" s="87"/>
      <c r="P115" s="88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8"/>
      <c r="L116" s="88"/>
      <c r="M116" s="87"/>
      <c r="N116" s="87"/>
      <c r="O116" s="87"/>
      <c r="P116" s="88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8"/>
      <c r="L117" s="88"/>
      <c r="M117" s="87"/>
      <c r="N117" s="87"/>
      <c r="O117" s="87"/>
      <c r="P117" s="88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8"/>
      <c r="L118" s="88"/>
      <c r="M118" s="87"/>
      <c r="N118" s="87"/>
      <c r="O118" s="87"/>
      <c r="P118" s="88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8"/>
      <c r="L119" s="88"/>
      <c r="M119" s="87"/>
      <c r="N119" s="87"/>
      <c r="O119" s="87"/>
      <c r="P119" s="88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8"/>
      <c r="L120" s="88"/>
      <c r="M120" s="87"/>
      <c r="N120" s="87"/>
      <c r="O120" s="87"/>
      <c r="P120" s="88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8"/>
      <c r="L121" s="88"/>
      <c r="M121" s="87"/>
      <c r="N121" s="87"/>
      <c r="O121" s="87"/>
      <c r="P121" s="88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8"/>
      <c r="L122" s="88"/>
      <c r="M122" s="87"/>
      <c r="N122" s="87"/>
      <c r="O122" s="87"/>
      <c r="P122" s="88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8"/>
      <c r="L123" s="88"/>
      <c r="M123" s="87"/>
      <c r="N123" s="87"/>
      <c r="O123" s="87"/>
      <c r="P123" s="88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8"/>
      <c r="L124" s="88"/>
      <c r="M124" s="87"/>
      <c r="N124" s="87"/>
      <c r="O124" s="87"/>
      <c r="P124" s="88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8"/>
      <c r="L125" s="88"/>
      <c r="M125" s="87"/>
      <c r="N125" s="87"/>
      <c r="O125" s="87"/>
      <c r="P125" s="88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8"/>
      <c r="L126" s="88"/>
      <c r="M126" s="87"/>
      <c r="N126" s="87"/>
      <c r="O126" s="87"/>
      <c r="P126" s="88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8"/>
      <c r="L127" s="88"/>
      <c r="M127" s="87"/>
      <c r="N127" s="87"/>
      <c r="O127" s="87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8"/>
      <c r="L128" s="88"/>
      <c r="M128" s="87"/>
      <c r="N128" s="87"/>
      <c r="O128" s="87"/>
      <c r="P128" s="88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8"/>
      <c r="L129" s="88"/>
      <c r="M129" s="87"/>
      <c r="N129" s="87"/>
      <c r="O129" s="87"/>
      <c r="P129" s="88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8"/>
      <c r="L130" s="88"/>
      <c r="M130" s="87"/>
      <c r="N130" s="87"/>
      <c r="O130" s="87"/>
      <c r="P130" s="88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8"/>
      <c r="L131" s="88"/>
      <c r="M131" s="87"/>
      <c r="N131" s="87"/>
      <c r="O131" s="87"/>
      <c r="P131" s="88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8"/>
      <c r="L132" s="88"/>
      <c r="M132" s="87"/>
      <c r="N132" s="87"/>
      <c r="O132" s="87"/>
      <c r="P132" s="88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8"/>
      <c r="L133" s="88"/>
      <c r="M133" s="87"/>
      <c r="N133" s="87"/>
      <c r="O133" s="87"/>
      <c r="P133" s="88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8"/>
      <c r="L134" s="88"/>
      <c r="M134" s="87"/>
      <c r="N134" s="87"/>
      <c r="O134" s="87"/>
      <c r="P134" s="88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8"/>
      <c r="L135" s="88"/>
      <c r="M135" s="87"/>
      <c r="N135" s="87"/>
      <c r="O135" s="87"/>
      <c r="P135" s="88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8"/>
      <c r="L136" s="88"/>
      <c r="M136" s="87"/>
      <c r="N136" s="87"/>
      <c r="O136" s="87"/>
      <c r="P136" s="88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8"/>
      <c r="L137" s="88"/>
      <c r="M137" s="87"/>
      <c r="N137" s="87"/>
      <c r="O137" s="87"/>
      <c r="P137" s="88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8"/>
      <c r="L138" s="88"/>
      <c r="M138" s="87"/>
      <c r="N138" s="87"/>
      <c r="O138" s="87"/>
      <c r="P138" s="88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8"/>
      <c r="L139" s="88"/>
      <c r="M139" s="87"/>
      <c r="N139" s="87"/>
      <c r="O139" s="87"/>
      <c r="P139" s="88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8"/>
      <c r="L140" s="88"/>
      <c r="M140" s="87"/>
      <c r="N140" s="87"/>
      <c r="O140" s="87"/>
      <c r="P140" s="88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8"/>
      <c r="L141" s="88"/>
      <c r="M141" s="87"/>
      <c r="N141" s="87"/>
      <c r="O141" s="87"/>
      <c r="P141" s="88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8"/>
      <c r="L142" s="88"/>
      <c r="M142" s="87"/>
      <c r="N142" s="87"/>
      <c r="O142" s="87"/>
      <c r="P142" s="88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8"/>
      <c r="L143" s="88"/>
      <c r="M143" s="87"/>
      <c r="N143" s="87"/>
      <c r="O143" s="87"/>
      <c r="P143" s="88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8"/>
      <c r="L144" s="88"/>
      <c r="M144" s="87"/>
      <c r="N144" s="87"/>
      <c r="O144" s="87"/>
      <c r="P144" s="88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8"/>
      <c r="L145" s="88"/>
      <c r="M145" s="87"/>
      <c r="N145" s="87"/>
      <c r="O145" s="87"/>
      <c r="P145" s="88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8"/>
      <c r="L146" s="88"/>
      <c r="M146" s="87"/>
      <c r="N146" s="87"/>
      <c r="O146" s="87"/>
      <c r="P146" s="88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8"/>
      <c r="L147" s="88"/>
      <c r="M147" s="87"/>
      <c r="N147" s="87"/>
      <c r="O147" s="87"/>
      <c r="P147" s="88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8"/>
      <c r="L148" s="88"/>
      <c r="M148" s="87"/>
      <c r="N148" s="87"/>
      <c r="O148" s="87"/>
      <c r="P148" s="88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8"/>
      <c r="L149" s="88"/>
      <c r="M149" s="87"/>
      <c r="N149" s="87"/>
      <c r="O149" s="87"/>
      <c r="P149" s="88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8"/>
      <c r="L150" s="88"/>
      <c r="M150" s="87"/>
      <c r="N150" s="87"/>
      <c r="O150" s="87"/>
      <c r="P150" s="88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8"/>
      <c r="L151" s="88"/>
      <c r="M151" s="87"/>
      <c r="N151" s="87"/>
      <c r="O151" s="87"/>
      <c r="P151" s="88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8"/>
      <c r="L152" s="88"/>
      <c r="M152" s="87"/>
      <c r="N152" s="87"/>
      <c r="O152" s="87"/>
      <c r="P152" s="88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8"/>
      <c r="L153" s="88"/>
      <c r="M153" s="87"/>
      <c r="N153" s="87"/>
      <c r="O153" s="87"/>
      <c r="P153" s="88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8"/>
      <c r="L154" s="88"/>
      <c r="M154" s="87"/>
      <c r="N154" s="87"/>
      <c r="O154" s="87"/>
      <c r="P154" s="88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8"/>
      <c r="L155" s="88"/>
      <c r="M155" s="87"/>
      <c r="N155" s="87"/>
      <c r="O155" s="87"/>
      <c r="P155" s="88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8"/>
      <c r="L156" s="88"/>
      <c r="M156" s="87"/>
      <c r="N156" s="87"/>
      <c r="O156" s="87"/>
      <c r="P156" s="88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8"/>
      <c r="L157" s="88"/>
      <c r="M157" s="87"/>
      <c r="N157" s="87"/>
      <c r="O157" s="87"/>
      <c r="P157" s="88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8"/>
      <c r="L158" s="88"/>
      <c r="M158" s="87"/>
      <c r="N158" s="87"/>
      <c r="O158" s="87"/>
      <c r="P158" s="88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8"/>
      <c r="L159" s="88"/>
      <c r="M159" s="87"/>
      <c r="N159" s="87"/>
      <c r="O159" s="87"/>
      <c r="P159" s="88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8"/>
      <c r="L160" s="88"/>
      <c r="M160" s="87"/>
      <c r="N160" s="87"/>
      <c r="O160" s="87"/>
      <c r="P160" s="88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8"/>
      <c r="L161" s="88"/>
      <c r="M161" s="87"/>
      <c r="N161" s="87"/>
      <c r="O161" s="87"/>
      <c r="P161" s="88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8"/>
      <c r="L162" s="88"/>
      <c r="M162" s="87"/>
      <c r="N162" s="87"/>
      <c r="O162" s="87"/>
      <c r="P162" s="88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8"/>
      <c r="L163" s="88"/>
      <c r="M163" s="87"/>
      <c r="N163" s="87"/>
      <c r="O163" s="87"/>
      <c r="P163" s="88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8"/>
      <c r="L164" s="88"/>
      <c r="M164" s="87"/>
      <c r="N164" s="87"/>
      <c r="O164" s="87"/>
      <c r="P164" s="88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8"/>
      <c r="L165" s="88"/>
      <c r="M165" s="87"/>
      <c r="N165" s="87"/>
      <c r="O165" s="87"/>
      <c r="P165" s="88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8"/>
      <c r="L166" s="88"/>
      <c r="M166" s="87"/>
      <c r="N166" s="87"/>
      <c r="O166" s="87"/>
      <c r="P166" s="88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8"/>
      <c r="L167" s="88"/>
      <c r="M167" s="87"/>
      <c r="N167" s="87"/>
      <c r="O167" s="87"/>
      <c r="P167" s="88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8"/>
      <c r="L168" s="88"/>
      <c r="M168" s="87"/>
      <c r="N168" s="87"/>
      <c r="O168" s="87"/>
      <c r="P168" s="88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8"/>
      <c r="L169" s="88"/>
      <c r="M169" s="87"/>
      <c r="N169" s="87"/>
      <c r="O169" s="87"/>
      <c r="P169" s="88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8"/>
      <c r="L170" s="88"/>
      <c r="M170" s="87"/>
      <c r="N170" s="87"/>
      <c r="O170" s="87"/>
      <c r="P170" s="88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8"/>
      <c r="L171" s="88"/>
      <c r="M171" s="87"/>
      <c r="N171" s="87"/>
      <c r="O171" s="87"/>
      <c r="P171" s="88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8"/>
      <c r="L172" s="88"/>
      <c r="M172" s="87"/>
      <c r="N172" s="87"/>
      <c r="O172" s="87"/>
      <c r="P172" s="88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8"/>
      <c r="L173" s="88"/>
      <c r="M173" s="87"/>
      <c r="N173" s="87"/>
      <c r="O173" s="87"/>
      <c r="P173" s="88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8"/>
      <c r="L174" s="88"/>
      <c r="M174" s="87"/>
      <c r="N174" s="87"/>
      <c r="O174" s="87"/>
      <c r="P174" s="88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8"/>
      <c r="L175" s="88"/>
      <c r="M175" s="87"/>
      <c r="N175" s="87"/>
      <c r="O175" s="87"/>
      <c r="P175" s="88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8"/>
      <c r="L176" s="88"/>
      <c r="M176" s="87"/>
      <c r="N176" s="87"/>
      <c r="O176" s="87"/>
      <c r="P176" s="88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8"/>
      <c r="L177" s="88"/>
      <c r="M177" s="87"/>
      <c r="N177" s="87"/>
      <c r="O177" s="87"/>
      <c r="P177" s="88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8"/>
      <c r="L178" s="88"/>
      <c r="M178" s="87"/>
      <c r="N178" s="87"/>
      <c r="O178" s="87"/>
      <c r="P178" s="88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8"/>
      <c r="L179" s="88"/>
      <c r="M179" s="87"/>
      <c r="N179" s="87"/>
      <c r="O179" s="87"/>
      <c r="P179" s="88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8"/>
      <c r="L180" s="88"/>
      <c r="M180" s="87"/>
      <c r="N180" s="87"/>
      <c r="O180" s="87"/>
      <c r="P180" s="88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8"/>
      <c r="L181" s="88"/>
      <c r="M181" s="87"/>
      <c r="N181" s="87"/>
      <c r="O181" s="87"/>
      <c r="P181" s="88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8"/>
      <c r="L182" s="88"/>
      <c r="M182" s="87"/>
      <c r="N182" s="87"/>
      <c r="O182" s="87"/>
      <c r="P182" s="88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8"/>
      <c r="L183" s="88"/>
      <c r="M183" s="87"/>
      <c r="N183" s="87"/>
      <c r="O183" s="87"/>
      <c r="P183" s="88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8"/>
      <c r="L184" s="88"/>
      <c r="M184" s="87"/>
      <c r="N184" s="87"/>
      <c r="O184" s="87"/>
      <c r="P184" s="88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8"/>
      <c r="L185" s="88"/>
      <c r="M185" s="87"/>
      <c r="N185" s="87"/>
      <c r="O185" s="87"/>
      <c r="P185" s="88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8"/>
      <c r="L186" s="88"/>
      <c r="M186" s="87"/>
      <c r="N186" s="87"/>
      <c r="O186" s="87"/>
      <c r="P186" s="88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8"/>
      <c r="L187" s="88"/>
      <c r="M187" s="87"/>
      <c r="N187" s="87"/>
      <c r="O187" s="87"/>
      <c r="P187" s="88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8"/>
      <c r="L188" s="88"/>
      <c r="M188" s="87"/>
      <c r="N188" s="87"/>
      <c r="O188" s="87"/>
      <c r="P188" s="88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8"/>
      <c r="L189" s="88"/>
      <c r="M189" s="87"/>
      <c r="N189" s="87"/>
      <c r="O189" s="87"/>
      <c r="P189" s="88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8"/>
      <c r="L190" s="88"/>
      <c r="M190" s="87"/>
      <c r="N190" s="87"/>
      <c r="O190" s="87"/>
      <c r="P190" s="88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8"/>
      <c r="L191" s="88"/>
      <c r="M191" s="87"/>
      <c r="N191" s="87"/>
      <c r="O191" s="87"/>
      <c r="P191" s="88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8"/>
      <c r="L192" s="88"/>
      <c r="M192" s="87"/>
      <c r="N192" s="87"/>
      <c r="O192" s="87"/>
      <c r="P192" s="88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8"/>
      <c r="L193" s="88"/>
      <c r="M193" s="87"/>
      <c r="N193" s="87"/>
      <c r="O193" s="87"/>
      <c r="P193" s="88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8"/>
      <c r="L194" s="88"/>
      <c r="M194" s="87"/>
      <c r="N194" s="87"/>
      <c r="O194" s="87"/>
      <c r="P194" s="88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8"/>
      <c r="L195" s="88"/>
      <c r="M195" s="87"/>
      <c r="N195" s="87"/>
      <c r="O195" s="87"/>
      <c r="P195" s="88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8"/>
      <c r="L196" s="88"/>
      <c r="M196" s="87"/>
      <c r="N196" s="87"/>
      <c r="O196" s="87"/>
      <c r="P196" s="88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8"/>
      <c r="L197" s="88"/>
      <c r="M197" s="87"/>
      <c r="N197" s="87"/>
      <c r="O197" s="87"/>
      <c r="P197" s="88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8"/>
      <c r="L198" s="88"/>
      <c r="M198" s="87"/>
      <c r="N198" s="87"/>
      <c r="O198" s="87"/>
      <c r="P198" s="88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8"/>
      <c r="L199" s="88"/>
      <c r="M199" s="87"/>
      <c r="N199" s="87"/>
      <c r="O199" s="87"/>
      <c r="P199" s="88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8"/>
      <c r="L200" s="88"/>
      <c r="M200" s="87"/>
      <c r="N200" s="87"/>
      <c r="O200" s="87"/>
      <c r="P200" s="88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8"/>
      <c r="L201" s="88"/>
      <c r="M201" s="87"/>
      <c r="N201" s="87"/>
      <c r="O201" s="87"/>
      <c r="P201" s="88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8"/>
      <c r="L202" s="88"/>
      <c r="M202" s="87"/>
      <c r="N202" s="87"/>
      <c r="O202" s="87"/>
      <c r="P202" s="88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8"/>
      <c r="L203" s="88"/>
      <c r="M203" s="87"/>
      <c r="N203" s="87"/>
      <c r="O203" s="87"/>
      <c r="P203" s="88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8"/>
      <c r="L204" s="88"/>
      <c r="M204" s="87"/>
      <c r="N204" s="87"/>
      <c r="O204" s="87"/>
      <c r="P204" s="88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8"/>
      <c r="L205" s="88"/>
      <c r="M205" s="87"/>
      <c r="N205" s="87"/>
      <c r="O205" s="87"/>
      <c r="P205" s="88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8"/>
      <c r="L206" s="88"/>
      <c r="M206" s="87"/>
      <c r="N206" s="87"/>
      <c r="O206" s="87"/>
      <c r="P206" s="88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8"/>
      <c r="L207" s="88"/>
      <c r="M207" s="87"/>
      <c r="N207" s="87"/>
      <c r="O207" s="87"/>
      <c r="P207" s="88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8"/>
      <c r="L208" s="88"/>
      <c r="M208" s="87"/>
      <c r="N208" s="87"/>
      <c r="O208" s="87"/>
      <c r="P208" s="88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8"/>
      <c r="L209" s="88"/>
      <c r="M209" s="87"/>
      <c r="N209" s="87"/>
      <c r="O209" s="87"/>
      <c r="P209" s="88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8"/>
      <c r="L210" s="88"/>
      <c r="M210" s="87"/>
      <c r="N210" s="87"/>
      <c r="O210" s="87"/>
      <c r="P210" s="88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8"/>
      <c r="L211" s="88"/>
      <c r="M211" s="87"/>
      <c r="N211" s="87"/>
      <c r="O211" s="87"/>
      <c r="P211" s="88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8"/>
      <c r="L212" s="88"/>
      <c r="M212" s="87"/>
      <c r="N212" s="87"/>
      <c r="O212" s="87"/>
      <c r="P212" s="88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8"/>
      <c r="L213" s="88"/>
      <c r="M213" s="87"/>
      <c r="N213" s="87"/>
      <c r="O213" s="87"/>
      <c r="P213" s="88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8"/>
      <c r="L214" s="88"/>
      <c r="M214" s="87"/>
      <c r="N214" s="87"/>
      <c r="O214" s="87"/>
      <c r="P214" s="88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8"/>
      <c r="L215" s="88"/>
      <c r="M215" s="87"/>
      <c r="N215" s="87"/>
      <c r="O215" s="87"/>
      <c r="P215" s="88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8"/>
      <c r="L216" s="88"/>
      <c r="M216" s="87"/>
      <c r="N216" s="87"/>
      <c r="O216" s="87"/>
      <c r="P216" s="88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8"/>
      <c r="L217" s="88"/>
      <c r="M217" s="87"/>
      <c r="N217" s="87"/>
      <c r="O217" s="87"/>
      <c r="P217" s="88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8"/>
      <c r="L218" s="88"/>
      <c r="M218" s="87"/>
      <c r="N218" s="87"/>
      <c r="O218" s="87"/>
      <c r="P218" s="88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8"/>
      <c r="L219" s="88"/>
      <c r="M219" s="87"/>
      <c r="N219" s="87"/>
      <c r="O219" s="87"/>
      <c r="P219" s="88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8"/>
      <c r="L220" s="88"/>
      <c r="M220" s="87"/>
      <c r="N220" s="87"/>
      <c r="O220" s="87"/>
      <c r="P220" s="88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8"/>
      <c r="L221" s="88"/>
      <c r="M221" s="87"/>
      <c r="N221" s="87"/>
      <c r="O221" s="87"/>
      <c r="P221" s="88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8"/>
      <c r="L222" s="88"/>
      <c r="M222" s="87"/>
      <c r="N222" s="87"/>
      <c r="O222" s="87"/>
      <c r="P222" s="88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8"/>
      <c r="L223" s="88"/>
      <c r="M223" s="87"/>
      <c r="N223" s="87"/>
      <c r="O223" s="87"/>
      <c r="P223" s="88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8"/>
      <c r="L224" s="88"/>
      <c r="M224" s="87"/>
      <c r="N224" s="87"/>
      <c r="O224" s="87"/>
      <c r="P224" s="88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8"/>
      <c r="L225" s="88"/>
      <c r="M225" s="87"/>
      <c r="N225" s="87"/>
      <c r="O225" s="87"/>
      <c r="P225" s="88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8"/>
      <c r="L226" s="88"/>
      <c r="M226" s="87"/>
      <c r="N226" s="87"/>
      <c r="O226" s="87"/>
      <c r="P226" s="88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8"/>
      <c r="L227" s="88"/>
      <c r="M227" s="87"/>
      <c r="N227" s="87"/>
      <c r="O227" s="87"/>
      <c r="P227" s="88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8"/>
      <c r="L228" s="88"/>
      <c r="M228" s="87"/>
      <c r="N228" s="87"/>
      <c r="O228" s="87"/>
      <c r="P228" s="88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8"/>
      <c r="L229" s="88"/>
      <c r="M229" s="87"/>
      <c r="N229" s="87"/>
      <c r="O229" s="87"/>
      <c r="P229" s="88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8"/>
      <c r="L230" s="88"/>
      <c r="M230" s="87"/>
      <c r="N230" s="87"/>
      <c r="O230" s="87"/>
      <c r="P230" s="88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8"/>
      <c r="L231" s="88"/>
      <c r="M231" s="87"/>
      <c r="N231" s="87"/>
      <c r="O231" s="87"/>
      <c r="P231" s="88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8"/>
      <c r="L232" s="88"/>
      <c r="M232" s="87"/>
      <c r="N232" s="87"/>
      <c r="O232" s="87"/>
      <c r="P232" s="88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8"/>
      <c r="L233" s="88"/>
      <c r="M233" s="87"/>
      <c r="N233" s="87"/>
      <c r="O233" s="87"/>
      <c r="P233" s="88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8"/>
      <c r="L234" s="88"/>
      <c r="M234" s="87"/>
      <c r="N234" s="87"/>
      <c r="O234" s="87"/>
      <c r="P234" s="88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8"/>
      <c r="L235" s="88"/>
      <c r="M235" s="87"/>
      <c r="N235" s="87"/>
      <c r="O235" s="87"/>
      <c r="P235" s="88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8"/>
      <c r="L236" s="88"/>
      <c r="M236" s="87"/>
      <c r="N236" s="87"/>
      <c r="O236" s="87"/>
      <c r="P236" s="88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8"/>
      <c r="L237" s="88"/>
      <c r="M237" s="87"/>
      <c r="N237" s="87"/>
      <c r="O237" s="87"/>
      <c r="P237" s="88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8"/>
      <c r="L238" s="88"/>
      <c r="M238" s="87"/>
      <c r="N238" s="87"/>
      <c r="O238" s="87"/>
      <c r="P238" s="88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8"/>
      <c r="L239" s="88"/>
      <c r="M239" s="87"/>
      <c r="N239" s="87"/>
      <c r="O239" s="87"/>
      <c r="P239" s="88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8"/>
      <c r="L240" s="88"/>
      <c r="M240" s="87"/>
      <c r="N240" s="87"/>
      <c r="O240" s="87"/>
      <c r="P240" s="88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8"/>
      <c r="L241" s="88"/>
      <c r="M241" s="87"/>
      <c r="N241" s="87"/>
      <c r="O241" s="87"/>
      <c r="P241" s="88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8"/>
      <c r="L242" s="88"/>
      <c r="M242" s="87"/>
      <c r="N242" s="87"/>
      <c r="O242" s="87"/>
      <c r="P242" s="88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8"/>
      <c r="L243" s="88"/>
      <c r="M243" s="87"/>
      <c r="N243" s="87"/>
      <c r="O243" s="87"/>
      <c r="P243" s="88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8"/>
      <c r="L244" s="88"/>
      <c r="M244" s="87"/>
      <c r="N244" s="87"/>
      <c r="O244" s="87"/>
      <c r="P244" s="88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8"/>
      <c r="L245" s="88"/>
      <c r="M245" s="87"/>
      <c r="N245" s="87"/>
      <c r="O245" s="87"/>
      <c r="P245" s="88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8"/>
      <c r="L246" s="88"/>
      <c r="M246" s="87"/>
      <c r="N246" s="87"/>
      <c r="O246" s="87"/>
      <c r="P246" s="88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8"/>
      <c r="L247" s="88"/>
      <c r="M247" s="87"/>
      <c r="N247" s="87"/>
      <c r="O247" s="87"/>
      <c r="P247" s="88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8"/>
      <c r="L248" s="88"/>
      <c r="M248" s="87"/>
      <c r="N248" s="87"/>
      <c r="O248" s="87"/>
      <c r="P248" s="88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8"/>
      <c r="L249" s="88"/>
      <c r="M249" s="87"/>
      <c r="N249" s="87"/>
      <c r="O249" s="87"/>
      <c r="P249" s="88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8"/>
      <c r="L250" s="88"/>
      <c r="M250" s="87"/>
      <c r="N250" s="87"/>
      <c r="O250" s="87"/>
      <c r="P250" s="88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8"/>
      <c r="L251" s="88"/>
      <c r="M251" s="87"/>
      <c r="N251" s="87"/>
      <c r="O251" s="87"/>
      <c r="P251" s="88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  <row r="252" spans="1:3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8"/>
      <c r="L252" s="88"/>
      <c r="M252" s="87"/>
      <c r="N252" s="87"/>
      <c r="O252" s="87"/>
      <c r="P252" s="88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</row>
    <row r="253" spans="1:3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8"/>
      <c r="L253" s="88"/>
      <c r="M253" s="87"/>
      <c r="N253" s="87"/>
      <c r="O253" s="87"/>
      <c r="P253" s="88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</row>
    <row r="254" spans="1:3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8"/>
      <c r="L254" s="88"/>
      <c r="M254" s="87"/>
      <c r="N254" s="87"/>
      <c r="O254" s="87"/>
      <c r="P254" s="88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</row>
    <row r="255" spans="1:31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8"/>
      <c r="L255" s="88"/>
      <c r="M255" s="87"/>
      <c r="N255" s="87"/>
      <c r="O255" s="87"/>
      <c r="P255" s="88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</row>
    <row r="256" spans="1:31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8"/>
      <c r="L256" s="88"/>
      <c r="M256" s="87"/>
      <c r="N256" s="87"/>
      <c r="O256" s="87"/>
      <c r="P256" s="88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</row>
    <row r="257" spans="1:31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8"/>
      <c r="L257" s="88"/>
      <c r="M257" s="87"/>
      <c r="N257" s="87"/>
      <c r="O257" s="87"/>
      <c r="P257" s="88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</row>
    <row r="258" spans="1:31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8"/>
      <c r="L258" s="88"/>
      <c r="M258" s="87"/>
      <c r="N258" s="87"/>
      <c r="O258" s="87"/>
      <c r="P258" s="88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</row>
    <row r="259" spans="1:31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8"/>
      <c r="L259" s="88"/>
      <c r="M259" s="87"/>
      <c r="N259" s="87"/>
      <c r="O259" s="87"/>
      <c r="P259" s="88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</row>
    <row r="260" spans="1:31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8"/>
      <c r="L260" s="88"/>
      <c r="M260" s="87"/>
      <c r="N260" s="87"/>
      <c r="O260" s="87"/>
      <c r="P260" s="88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</row>
    <row r="261" spans="1:31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8"/>
      <c r="L261" s="88"/>
      <c r="M261" s="87"/>
      <c r="N261" s="87"/>
      <c r="O261" s="87"/>
      <c r="P261" s="88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</row>
    <row r="262" spans="1:31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8"/>
      <c r="L262" s="88"/>
      <c r="M262" s="87"/>
      <c r="N262" s="87"/>
      <c r="O262" s="87"/>
      <c r="P262" s="88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</row>
    <row r="263" spans="1:31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8"/>
      <c r="L263" s="88"/>
      <c r="M263" s="87"/>
      <c r="N263" s="87"/>
      <c r="O263" s="87"/>
      <c r="P263" s="88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</row>
    <row r="264" spans="1:31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8"/>
      <c r="L264" s="88"/>
      <c r="M264" s="87"/>
      <c r="N264" s="87"/>
      <c r="O264" s="87"/>
      <c r="P264" s="88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</row>
    <row r="265" spans="1:31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8"/>
      <c r="L265" s="88"/>
      <c r="M265" s="87"/>
      <c r="N265" s="87"/>
      <c r="O265" s="87"/>
      <c r="P265" s="88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</row>
    <row r="266" spans="1:31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8"/>
      <c r="L266" s="88"/>
      <c r="M266" s="87"/>
      <c r="N266" s="87"/>
      <c r="O266" s="87"/>
      <c r="P266" s="88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</row>
    <row r="267" spans="1:31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8"/>
      <c r="L267" s="88"/>
      <c r="M267" s="87"/>
      <c r="N267" s="87"/>
      <c r="O267" s="87"/>
      <c r="P267" s="88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</row>
    <row r="268" spans="1:31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8"/>
      <c r="L268" s="88"/>
      <c r="M268" s="87"/>
      <c r="N268" s="87"/>
      <c r="O268" s="87"/>
      <c r="P268" s="88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</row>
    <row r="269" spans="1:31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8"/>
      <c r="L269" s="88"/>
      <c r="M269" s="87"/>
      <c r="N269" s="87"/>
      <c r="O269" s="87"/>
      <c r="P269" s="88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</row>
    <row r="270" spans="1:31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8"/>
      <c r="L270" s="88"/>
      <c r="M270" s="87"/>
      <c r="N270" s="87"/>
      <c r="O270" s="87"/>
      <c r="P270" s="88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</row>
    <row r="271" spans="1:31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8"/>
      <c r="L271" s="88"/>
      <c r="M271" s="87"/>
      <c r="N271" s="87"/>
      <c r="O271" s="87"/>
      <c r="P271" s="88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</row>
    <row r="272" spans="1:31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8"/>
      <c r="L272" s="88"/>
      <c r="M272" s="87"/>
      <c r="N272" s="87"/>
      <c r="O272" s="87"/>
      <c r="P272" s="88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</row>
    <row r="273" spans="1:31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8"/>
      <c r="L273" s="88"/>
      <c r="M273" s="87"/>
      <c r="N273" s="87"/>
      <c r="O273" s="87"/>
      <c r="P273" s="88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</row>
    <row r="274" spans="1:31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8"/>
      <c r="L274" s="88"/>
      <c r="M274" s="87"/>
      <c r="N274" s="87"/>
      <c r="O274" s="87"/>
      <c r="P274" s="88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</row>
    <row r="275" spans="1:31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8"/>
      <c r="L275" s="88"/>
      <c r="M275" s="87"/>
      <c r="N275" s="87"/>
      <c r="O275" s="87"/>
      <c r="P275" s="88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</row>
    <row r="276" spans="1:31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8"/>
      <c r="L276" s="88"/>
      <c r="M276" s="87"/>
      <c r="N276" s="87"/>
      <c r="O276" s="87"/>
      <c r="P276" s="88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</row>
    <row r="277" spans="1:31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8"/>
      <c r="L277" s="88"/>
      <c r="M277" s="87"/>
      <c r="N277" s="87"/>
      <c r="O277" s="87"/>
      <c r="P277" s="88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</row>
    <row r="278" spans="1:31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8"/>
      <c r="L278" s="88"/>
      <c r="M278" s="87"/>
      <c r="N278" s="87"/>
      <c r="O278" s="87"/>
      <c r="P278" s="88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</row>
    <row r="279" spans="1:31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8"/>
      <c r="L279" s="88"/>
      <c r="M279" s="87"/>
      <c r="N279" s="87"/>
      <c r="O279" s="87"/>
      <c r="P279" s="88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</row>
    <row r="280" spans="1:31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8"/>
      <c r="L280" s="88"/>
      <c r="M280" s="87"/>
      <c r="N280" s="87"/>
      <c r="O280" s="87"/>
      <c r="P280" s="88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</row>
    <row r="281" spans="1:31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8"/>
      <c r="L281" s="88"/>
      <c r="M281" s="87"/>
      <c r="N281" s="87"/>
      <c r="O281" s="87"/>
      <c r="P281" s="88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</row>
    <row r="282" spans="1:31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8"/>
      <c r="L282" s="88"/>
      <c r="M282" s="87"/>
      <c r="N282" s="87"/>
      <c r="O282" s="87"/>
      <c r="P282" s="88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</row>
    <row r="283" spans="1:31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8"/>
      <c r="L283" s="88"/>
      <c r="M283" s="87"/>
      <c r="N283" s="87"/>
      <c r="O283" s="87"/>
      <c r="P283" s="88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</row>
    <row r="284" spans="1:31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8"/>
      <c r="L284" s="88"/>
      <c r="M284" s="87"/>
      <c r="N284" s="87"/>
      <c r="O284" s="87"/>
      <c r="P284" s="88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</row>
    <row r="285" spans="1:31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8"/>
      <c r="L285" s="88"/>
      <c r="M285" s="87"/>
      <c r="N285" s="87"/>
      <c r="O285" s="87"/>
      <c r="P285" s="88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</row>
    <row r="286" spans="1:31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8"/>
      <c r="L286" s="88"/>
      <c r="M286" s="87"/>
      <c r="N286" s="87"/>
      <c r="O286" s="87"/>
      <c r="P286" s="88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</row>
    <row r="287" spans="1:31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8"/>
      <c r="L287" s="88"/>
      <c r="M287" s="87"/>
      <c r="N287" s="87"/>
      <c r="O287" s="87"/>
      <c r="P287" s="88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</row>
    <row r="288" spans="1:31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8"/>
      <c r="L288" s="88"/>
      <c r="M288" s="87"/>
      <c r="N288" s="87"/>
      <c r="O288" s="87"/>
      <c r="P288" s="88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</row>
    <row r="289" spans="1:31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8"/>
      <c r="L289" s="88"/>
      <c r="M289" s="87"/>
      <c r="N289" s="87"/>
      <c r="O289" s="87"/>
      <c r="P289" s="88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</row>
    <row r="290" spans="1:31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8"/>
      <c r="L290" s="88"/>
      <c r="M290" s="87"/>
      <c r="N290" s="87"/>
      <c r="O290" s="87"/>
      <c r="P290" s="88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</row>
    <row r="291" spans="1:31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8"/>
      <c r="L291" s="88"/>
      <c r="M291" s="87"/>
      <c r="N291" s="87"/>
      <c r="O291" s="87"/>
      <c r="P291" s="88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</row>
    <row r="292" spans="1:31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8"/>
      <c r="L292" s="88"/>
      <c r="M292" s="87"/>
      <c r="N292" s="87"/>
      <c r="O292" s="87"/>
      <c r="P292" s="88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</row>
    <row r="293" spans="1:31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8"/>
      <c r="L293" s="88"/>
      <c r="M293" s="87"/>
      <c r="N293" s="87"/>
      <c r="O293" s="87"/>
      <c r="P293" s="88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</row>
    <row r="294" spans="1:31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8"/>
      <c r="L294" s="88"/>
      <c r="M294" s="87"/>
      <c r="N294" s="87"/>
      <c r="O294" s="87"/>
      <c r="P294" s="88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</row>
    <row r="295" spans="1:31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8"/>
      <c r="L295" s="88"/>
      <c r="M295" s="87"/>
      <c r="N295" s="87"/>
      <c r="O295" s="87"/>
      <c r="P295" s="88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</row>
    <row r="296" spans="1:31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8"/>
      <c r="L296" s="88"/>
      <c r="M296" s="87"/>
      <c r="N296" s="87"/>
      <c r="O296" s="87"/>
      <c r="P296" s="88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</row>
    <row r="297" spans="1:31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8"/>
      <c r="L297" s="88"/>
      <c r="M297" s="87"/>
      <c r="N297" s="87"/>
      <c r="O297" s="87"/>
      <c r="P297" s="88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</row>
    <row r="298" spans="1:31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8"/>
      <c r="L298" s="88"/>
      <c r="M298" s="87"/>
      <c r="N298" s="87"/>
      <c r="O298" s="87"/>
      <c r="P298" s="88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</row>
    <row r="299" spans="1:31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8"/>
      <c r="L299" s="88"/>
      <c r="M299" s="87"/>
      <c r="N299" s="87"/>
      <c r="O299" s="87"/>
      <c r="P299" s="88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</row>
    <row r="300" spans="1:31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8"/>
      <c r="L300" s="88"/>
      <c r="M300" s="87"/>
      <c r="N300" s="87"/>
      <c r="O300" s="87"/>
      <c r="P300" s="88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</row>
    <row r="301" spans="1:31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8"/>
      <c r="L301" s="88"/>
      <c r="M301" s="87"/>
      <c r="N301" s="87"/>
      <c r="O301" s="87"/>
      <c r="P301" s="88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</row>
    <row r="302" spans="1:31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8"/>
      <c r="L302" s="88"/>
      <c r="M302" s="87"/>
      <c r="N302" s="87"/>
      <c r="O302" s="87"/>
      <c r="P302" s="88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</row>
    <row r="303" spans="1:31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8"/>
      <c r="L303" s="88"/>
      <c r="M303" s="87"/>
      <c r="N303" s="87"/>
      <c r="O303" s="87"/>
      <c r="P303" s="88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</row>
    <row r="304" spans="1:31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8"/>
      <c r="L304" s="88"/>
      <c r="M304" s="87"/>
      <c r="N304" s="87"/>
      <c r="O304" s="87"/>
      <c r="P304" s="88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</row>
    <row r="305" spans="1:31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8"/>
      <c r="L305" s="88"/>
      <c r="M305" s="87"/>
      <c r="N305" s="87"/>
      <c r="O305" s="87"/>
      <c r="P305" s="88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</row>
    <row r="306" spans="1:31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8"/>
      <c r="L306" s="88"/>
      <c r="M306" s="87"/>
      <c r="N306" s="87"/>
      <c r="O306" s="87"/>
      <c r="P306" s="88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</row>
    <row r="307" spans="1:31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8"/>
      <c r="L307" s="88"/>
      <c r="M307" s="87"/>
      <c r="N307" s="87"/>
      <c r="O307" s="87"/>
      <c r="P307" s="88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</row>
    <row r="308" spans="1:31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8"/>
      <c r="L308" s="88"/>
      <c r="M308" s="87"/>
      <c r="N308" s="87"/>
      <c r="O308" s="87"/>
      <c r="P308" s="88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</row>
    <row r="309" spans="1:31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8"/>
      <c r="L309" s="88"/>
      <c r="M309" s="87"/>
      <c r="N309" s="87"/>
      <c r="O309" s="87"/>
      <c r="P309" s="88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</row>
    <row r="310" spans="1:31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8"/>
      <c r="L310" s="88"/>
      <c r="M310" s="87"/>
      <c r="N310" s="87"/>
      <c r="O310" s="87"/>
      <c r="P310" s="88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</row>
    <row r="311" spans="1:31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8"/>
      <c r="L311" s="88"/>
      <c r="M311" s="87"/>
      <c r="N311" s="87"/>
      <c r="O311" s="87"/>
      <c r="P311" s="88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</row>
    <row r="312" spans="1:31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8"/>
      <c r="L312" s="88"/>
      <c r="M312" s="87"/>
      <c r="N312" s="87"/>
      <c r="O312" s="87"/>
      <c r="P312" s="88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</row>
    <row r="313" spans="1:31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8"/>
      <c r="L313" s="88"/>
      <c r="M313" s="87"/>
      <c r="N313" s="87"/>
      <c r="O313" s="87"/>
      <c r="P313" s="88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</row>
    <row r="314" spans="1:31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8"/>
      <c r="L314" s="88"/>
      <c r="M314" s="87"/>
      <c r="N314" s="87"/>
      <c r="O314" s="87"/>
      <c r="P314" s="88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</row>
    <row r="315" spans="1:31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8"/>
      <c r="L315" s="88"/>
      <c r="M315" s="87"/>
      <c r="N315" s="87"/>
      <c r="O315" s="87"/>
      <c r="P315" s="88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</row>
    <row r="316" spans="1:31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8"/>
      <c r="L316" s="88"/>
      <c r="M316" s="87"/>
      <c r="N316" s="87"/>
      <c r="O316" s="87"/>
      <c r="P316" s="88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</row>
    <row r="317" spans="1:31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8"/>
      <c r="L317" s="88"/>
      <c r="M317" s="87"/>
      <c r="N317" s="87"/>
      <c r="O317" s="87"/>
      <c r="P317" s="88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</row>
    <row r="318" spans="1:31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8"/>
      <c r="L318" s="88"/>
      <c r="M318" s="87"/>
      <c r="N318" s="87"/>
      <c r="O318" s="87"/>
      <c r="P318" s="88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</row>
    <row r="319" spans="1:31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8"/>
      <c r="L319" s="88"/>
      <c r="M319" s="87"/>
      <c r="N319" s="87"/>
      <c r="O319" s="87"/>
      <c r="P319" s="88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</row>
    <row r="320" spans="1:31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8"/>
      <c r="L320" s="88"/>
      <c r="M320" s="87"/>
      <c r="N320" s="87"/>
      <c r="O320" s="87"/>
      <c r="P320" s="88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</row>
    <row r="321" spans="1:31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8"/>
      <c r="L321" s="88"/>
      <c r="M321" s="87"/>
      <c r="N321" s="87"/>
      <c r="O321" s="87"/>
      <c r="P321" s="88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</row>
    <row r="322" spans="1:31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8"/>
      <c r="L322" s="88"/>
      <c r="M322" s="87"/>
      <c r="N322" s="87"/>
      <c r="O322" s="87"/>
      <c r="P322" s="88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</row>
    <row r="323" spans="1:31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8"/>
      <c r="L323" s="88"/>
      <c r="M323" s="87"/>
      <c r="N323" s="87"/>
      <c r="O323" s="87"/>
      <c r="P323" s="88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</row>
    <row r="324" spans="1:31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8"/>
      <c r="L324" s="88"/>
      <c r="M324" s="87"/>
      <c r="N324" s="87"/>
      <c r="O324" s="87"/>
      <c r="P324" s="88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</row>
    <row r="325" spans="1:31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8"/>
      <c r="L325" s="88"/>
      <c r="M325" s="87"/>
      <c r="N325" s="87"/>
      <c r="O325" s="87"/>
      <c r="P325" s="88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</row>
    <row r="326" spans="1:31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8"/>
      <c r="L326" s="88"/>
      <c r="M326" s="87"/>
      <c r="N326" s="87"/>
      <c r="O326" s="87"/>
      <c r="P326" s="88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</row>
    <row r="327" spans="1:31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8"/>
      <c r="L327" s="88"/>
      <c r="M327" s="87"/>
      <c r="N327" s="87"/>
      <c r="O327" s="87"/>
      <c r="P327" s="88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</row>
    <row r="328" spans="1:31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8"/>
      <c r="L328" s="88"/>
      <c r="M328" s="87"/>
      <c r="N328" s="87"/>
      <c r="O328" s="87"/>
      <c r="P328" s="88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</row>
    <row r="329" spans="1:31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8"/>
      <c r="L329" s="88"/>
      <c r="M329" s="87"/>
      <c r="N329" s="87"/>
      <c r="O329" s="87"/>
      <c r="P329" s="88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</row>
    <row r="330" spans="1:31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8"/>
      <c r="L330" s="88"/>
      <c r="M330" s="87"/>
      <c r="N330" s="87"/>
      <c r="O330" s="87"/>
      <c r="P330" s="88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</row>
    <row r="331" spans="1:31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8"/>
      <c r="L331" s="88"/>
      <c r="M331" s="87"/>
      <c r="N331" s="87"/>
      <c r="O331" s="87"/>
      <c r="P331" s="88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</row>
    <row r="332" spans="1:31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8"/>
      <c r="L332" s="88"/>
      <c r="M332" s="87"/>
      <c r="N332" s="87"/>
      <c r="O332" s="87"/>
      <c r="P332" s="88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</row>
    <row r="333" spans="1:31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8"/>
      <c r="L333" s="88"/>
      <c r="M333" s="87"/>
      <c r="N333" s="87"/>
      <c r="O333" s="87"/>
      <c r="P333" s="88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</row>
    <row r="334" spans="1:31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8"/>
      <c r="L334" s="88"/>
      <c r="M334" s="87"/>
      <c r="N334" s="87"/>
      <c r="O334" s="87"/>
      <c r="P334" s="88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</row>
    <row r="335" spans="1:31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8"/>
      <c r="L335" s="88"/>
      <c r="M335" s="87"/>
      <c r="N335" s="87"/>
      <c r="O335" s="87"/>
      <c r="P335" s="88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</row>
    <row r="336" spans="1:31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8"/>
      <c r="L336" s="88"/>
      <c r="M336" s="87"/>
      <c r="N336" s="87"/>
      <c r="O336" s="87"/>
      <c r="P336" s="88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</row>
    <row r="337" spans="1:31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8"/>
      <c r="L337" s="88"/>
      <c r="M337" s="87"/>
      <c r="N337" s="87"/>
      <c r="O337" s="87"/>
      <c r="P337" s="88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</row>
    <row r="338" spans="1:31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8"/>
      <c r="L338" s="88"/>
      <c r="M338" s="87"/>
      <c r="N338" s="87"/>
      <c r="O338" s="87"/>
      <c r="P338" s="88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</row>
    <row r="339" spans="1:31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8"/>
      <c r="L339" s="88"/>
      <c r="M339" s="87"/>
      <c r="N339" s="87"/>
      <c r="O339" s="87"/>
      <c r="P339" s="88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</row>
    <row r="340" spans="1:31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8"/>
      <c r="L340" s="88"/>
      <c r="M340" s="87"/>
      <c r="N340" s="87"/>
      <c r="O340" s="87"/>
      <c r="P340" s="88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</row>
    <row r="341" spans="1:31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8"/>
      <c r="L341" s="88"/>
      <c r="M341" s="87"/>
      <c r="N341" s="87"/>
      <c r="O341" s="87"/>
      <c r="P341" s="88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</row>
    <row r="342" spans="1:31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8"/>
      <c r="L342" s="88"/>
      <c r="M342" s="87"/>
      <c r="N342" s="87"/>
      <c r="O342" s="87"/>
      <c r="P342" s="88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</row>
    <row r="343" spans="1:31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8"/>
      <c r="L343" s="88"/>
      <c r="M343" s="87"/>
      <c r="N343" s="87"/>
      <c r="O343" s="87"/>
      <c r="P343" s="88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</row>
    <row r="344" spans="1:31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8"/>
      <c r="L344" s="88"/>
      <c r="M344" s="87"/>
      <c r="N344" s="87"/>
      <c r="O344" s="87"/>
      <c r="P344" s="88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</row>
    <row r="345" spans="1:31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8"/>
      <c r="L345" s="88"/>
      <c r="M345" s="87"/>
      <c r="N345" s="87"/>
      <c r="O345" s="87"/>
      <c r="P345" s="88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</row>
    <row r="346" spans="1:31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8"/>
      <c r="L346" s="88"/>
      <c r="M346" s="87"/>
      <c r="N346" s="87"/>
      <c r="O346" s="87"/>
      <c r="P346" s="88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</row>
    <row r="347" spans="1:31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8"/>
      <c r="L347" s="88"/>
      <c r="M347" s="87"/>
      <c r="N347" s="87"/>
      <c r="O347" s="87"/>
      <c r="P347" s="88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</row>
    <row r="348" spans="1:31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8"/>
      <c r="L348" s="88"/>
      <c r="M348" s="87"/>
      <c r="N348" s="87"/>
      <c r="O348" s="87"/>
      <c r="P348" s="88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</row>
    <row r="349" spans="1:31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8"/>
      <c r="L349" s="88"/>
      <c r="M349" s="87"/>
      <c r="N349" s="87"/>
      <c r="O349" s="87"/>
      <c r="P349" s="88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</row>
    <row r="350" spans="1:31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8"/>
      <c r="L350" s="88"/>
      <c r="M350" s="87"/>
      <c r="N350" s="87"/>
      <c r="O350" s="87"/>
      <c r="P350" s="88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</row>
    <row r="351" spans="1:31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8"/>
      <c r="L351" s="88"/>
      <c r="M351" s="87"/>
      <c r="N351" s="87"/>
      <c r="O351" s="87"/>
      <c r="P351" s="88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</row>
    <row r="352" spans="1:31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88"/>
      <c r="M352" s="87"/>
      <c r="N352" s="87"/>
      <c r="O352" s="87"/>
      <c r="P352" s="88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</row>
    <row r="353" spans="1:31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8"/>
      <c r="L353" s="88"/>
      <c r="M353" s="87"/>
      <c r="N353" s="87"/>
      <c r="O353" s="87"/>
      <c r="P353" s="88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</row>
    <row r="354" spans="1:31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8"/>
      <c r="L354" s="88"/>
      <c r="M354" s="87"/>
      <c r="N354" s="87"/>
      <c r="O354" s="87"/>
      <c r="P354" s="88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</row>
    <row r="355" spans="1:31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8"/>
      <c r="L355" s="88"/>
      <c r="M355" s="87"/>
      <c r="N355" s="87"/>
      <c r="O355" s="87"/>
      <c r="P355" s="88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</row>
    <row r="356" spans="1:31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8"/>
      <c r="L356" s="88"/>
      <c r="M356" s="87"/>
      <c r="N356" s="87"/>
      <c r="O356" s="87"/>
      <c r="P356" s="88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</row>
    <row r="357" spans="1:31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8"/>
      <c r="L357" s="88"/>
      <c r="M357" s="87"/>
      <c r="N357" s="87"/>
      <c r="O357" s="87"/>
      <c r="P357" s="88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</row>
    <row r="358" spans="1:31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8"/>
      <c r="L358" s="88"/>
      <c r="M358" s="87"/>
      <c r="N358" s="87"/>
      <c r="O358" s="87"/>
      <c r="P358" s="88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</row>
    <row r="359" spans="1:31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8"/>
      <c r="L359" s="88"/>
      <c r="M359" s="87"/>
      <c r="N359" s="87"/>
      <c r="O359" s="87"/>
      <c r="P359" s="88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</row>
    <row r="360" spans="1:31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8"/>
      <c r="L360" s="88"/>
      <c r="M360" s="87"/>
      <c r="N360" s="87"/>
      <c r="O360" s="87"/>
      <c r="P360" s="88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</row>
    <row r="361" spans="1:31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8"/>
      <c r="L361" s="88"/>
      <c r="M361" s="87"/>
      <c r="N361" s="87"/>
      <c r="O361" s="87"/>
      <c r="P361" s="88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</row>
    <row r="362" spans="1:31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8"/>
      <c r="L362" s="88"/>
      <c r="M362" s="87"/>
      <c r="N362" s="87"/>
      <c r="O362" s="87"/>
      <c r="P362" s="88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</row>
    <row r="363" spans="1:31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8"/>
      <c r="L363" s="88"/>
      <c r="M363" s="87"/>
      <c r="N363" s="87"/>
      <c r="O363" s="87"/>
      <c r="P363" s="88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</row>
    <row r="364" spans="1:31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8"/>
      <c r="L364" s="88"/>
      <c r="M364" s="87"/>
      <c r="N364" s="87"/>
      <c r="O364" s="87"/>
      <c r="P364" s="88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</row>
    <row r="365" spans="1:31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8"/>
      <c r="L365" s="88"/>
      <c r="M365" s="87"/>
      <c r="N365" s="87"/>
      <c r="O365" s="87"/>
      <c r="P365" s="88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</row>
    <row r="366" spans="1:31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8"/>
      <c r="L366" s="88"/>
      <c r="M366" s="87"/>
      <c r="N366" s="87"/>
      <c r="O366" s="87"/>
      <c r="P366" s="88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</row>
    <row r="367" spans="1:31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8"/>
      <c r="L367" s="88"/>
      <c r="M367" s="87"/>
      <c r="N367" s="87"/>
      <c r="O367" s="87"/>
      <c r="P367" s="88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</row>
    <row r="368" spans="1:31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8"/>
      <c r="L368" s="88"/>
      <c r="M368" s="87"/>
      <c r="N368" s="87"/>
      <c r="O368" s="87"/>
      <c r="P368" s="88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</row>
    <row r="369" spans="1:31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8"/>
      <c r="L369" s="88"/>
      <c r="M369" s="87"/>
      <c r="N369" s="87"/>
      <c r="O369" s="87"/>
      <c r="P369" s="88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</row>
    <row r="370" spans="1:31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8"/>
      <c r="L370" s="88"/>
      <c r="M370" s="87"/>
      <c r="N370" s="87"/>
      <c r="O370" s="87"/>
      <c r="P370" s="88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</row>
    <row r="371" spans="1:31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8"/>
      <c r="L371" s="88"/>
      <c r="M371" s="87"/>
      <c r="N371" s="87"/>
      <c r="O371" s="87"/>
      <c r="P371" s="88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</row>
    <row r="372" spans="1:31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8"/>
      <c r="L372" s="88"/>
      <c r="M372" s="87"/>
      <c r="N372" s="87"/>
      <c r="O372" s="87"/>
      <c r="P372" s="88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</row>
    <row r="373" spans="1:31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8"/>
      <c r="L373" s="88"/>
      <c r="M373" s="87"/>
      <c r="N373" s="87"/>
      <c r="O373" s="87"/>
      <c r="P373" s="88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</row>
    <row r="374" spans="1:31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8"/>
      <c r="L374" s="88"/>
      <c r="M374" s="87"/>
      <c r="N374" s="87"/>
      <c r="O374" s="87"/>
      <c r="P374" s="88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</row>
    <row r="375" spans="1:31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8"/>
      <c r="L375" s="88"/>
      <c r="M375" s="87"/>
      <c r="N375" s="87"/>
      <c r="O375" s="87"/>
      <c r="P375" s="88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</row>
    <row r="376" spans="1:31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8"/>
      <c r="L376" s="88"/>
      <c r="M376" s="87"/>
      <c r="N376" s="87"/>
      <c r="O376" s="87"/>
      <c r="P376" s="88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</row>
    <row r="377" spans="1:31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8"/>
      <c r="L377" s="88"/>
      <c r="M377" s="87"/>
      <c r="N377" s="87"/>
      <c r="O377" s="87"/>
      <c r="P377" s="88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</row>
    <row r="378" spans="1:31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8"/>
      <c r="L378" s="88"/>
      <c r="M378" s="87"/>
      <c r="N378" s="87"/>
      <c r="O378" s="87"/>
      <c r="P378" s="88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</row>
    <row r="379" spans="1:31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8"/>
      <c r="L379" s="88"/>
      <c r="M379" s="87"/>
      <c r="N379" s="87"/>
      <c r="O379" s="87"/>
      <c r="P379" s="88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</row>
    <row r="380" spans="1:31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8"/>
      <c r="L380" s="88"/>
      <c r="M380" s="87"/>
      <c r="N380" s="87"/>
      <c r="O380" s="87"/>
      <c r="P380" s="88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</row>
    <row r="381" spans="1:31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8"/>
      <c r="L381" s="88"/>
      <c r="M381" s="87"/>
      <c r="N381" s="87"/>
      <c r="O381" s="87"/>
      <c r="P381" s="88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</row>
    <row r="382" spans="1:31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8"/>
      <c r="L382" s="88"/>
      <c r="M382" s="87"/>
      <c r="N382" s="87"/>
      <c r="O382" s="87"/>
      <c r="P382" s="88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</row>
    <row r="383" spans="1:31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8"/>
      <c r="L383" s="88"/>
      <c r="M383" s="87"/>
      <c r="N383" s="87"/>
      <c r="O383" s="87"/>
      <c r="P383" s="88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</row>
    <row r="384" spans="1:31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8"/>
      <c r="L384" s="88"/>
      <c r="M384" s="87"/>
      <c r="N384" s="87"/>
      <c r="O384" s="87"/>
      <c r="P384" s="88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</row>
    <row r="385" spans="1:31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8"/>
      <c r="L385" s="88"/>
      <c r="M385" s="87"/>
      <c r="N385" s="87"/>
      <c r="O385" s="87"/>
      <c r="P385" s="88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</row>
    <row r="386" spans="1:31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8"/>
      <c r="L386" s="88"/>
      <c r="M386" s="87"/>
      <c r="N386" s="87"/>
      <c r="O386" s="87"/>
      <c r="P386" s="88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</row>
    <row r="387" spans="1:31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8"/>
      <c r="L387" s="88"/>
      <c r="M387" s="87"/>
      <c r="N387" s="87"/>
      <c r="O387" s="87"/>
      <c r="P387" s="88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</row>
    <row r="388" spans="1:31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8"/>
      <c r="L388" s="88"/>
      <c r="M388" s="87"/>
      <c r="N388" s="87"/>
      <c r="O388" s="87"/>
      <c r="P388" s="88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</row>
    <row r="389" spans="1:31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8"/>
      <c r="L389" s="88"/>
      <c r="M389" s="87"/>
      <c r="N389" s="87"/>
      <c r="O389" s="87"/>
      <c r="P389" s="88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</row>
    <row r="390" spans="1:31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8"/>
      <c r="L390" s="88"/>
      <c r="M390" s="87"/>
      <c r="N390" s="87"/>
      <c r="O390" s="87"/>
      <c r="P390" s="88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</row>
    <row r="391" spans="1:31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8"/>
      <c r="L391" s="88"/>
      <c r="M391" s="87"/>
      <c r="N391" s="87"/>
      <c r="O391" s="87"/>
      <c r="P391" s="88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</row>
    <row r="392" spans="1:31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8"/>
      <c r="L392" s="88"/>
      <c r="M392" s="87"/>
      <c r="N392" s="87"/>
      <c r="O392" s="87"/>
      <c r="P392" s="88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</row>
    <row r="393" spans="1:31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8"/>
      <c r="L393" s="88"/>
      <c r="M393" s="87"/>
      <c r="N393" s="87"/>
      <c r="O393" s="87"/>
      <c r="P393" s="88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</row>
    <row r="394" spans="1:31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8"/>
      <c r="L394" s="88"/>
      <c r="M394" s="87"/>
      <c r="N394" s="87"/>
      <c r="O394" s="87"/>
      <c r="P394" s="88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</row>
    <row r="395" spans="1:31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8"/>
      <c r="L395" s="88"/>
      <c r="M395" s="87"/>
      <c r="N395" s="87"/>
      <c r="O395" s="87"/>
      <c r="P395" s="88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</row>
    <row r="396" spans="1:31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8"/>
      <c r="L396" s="88"/>
      <c r="M396" s="87"/>
      <c r="N396" s="87"/>
      <c r="O396" s="87"/>
      <c r="P396" s="88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</row>
    <row r="397" spans="1:31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8"/>
      <c r="L397" s="88"/>
      <c r="M397" s="87"/>
      <c r="N397" s="87"/>
      <c r="O397" s="87"/>
      <c r="P397" s="88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</row>
    <row r="398" spans="1:31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8"/>
      <c r="L398" s="88"/>
      <c r="M398" s="87"/>
      <c r="N398" s="87"/>
      <c r="O398" s="87"/>
      <c r="P398" s="88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</row>
    <row r="399" spans="1:31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8"/>
      <c r="L399" s="88"/>
      <c r="M399" s="87"/>
      <c r="N399" s="87"/>
      <c r="O399" s="87"/>
      <c r="P399" s="88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</row>
    <row r="400" spans="1:31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8"/>
      <c r="L400" s="88"/>
      <c r="M400" s="87"/>
      <c r="N400" s="87"/>
      <c r="O400" s="87"/>
      <c r="P400" s="88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</row>
    <row r="401" spans="1:31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8"/>
      <c r="L401" s="88"/>
      <c r="M401" s="87"/>
      <c r="N401" s="87"/>
      <c r="O401" s="87"/>
      <c r="P401" s="88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</row>
    <row r="402" spans="1:31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8"/>
      <c r="L402" s="88"/>
      <c r="M402" s="87"/>
      <c r="N402" s="87"/>
      <c r="O402" s="87"/>
      <c r="P402" s="88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</row>
    <row r="403" spans="1:31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8"/>
      <c r="L403" s="88"/>
      <c r="M403" s="87"/>
      <c r="N403" s="87"/>
      <c r="O403" s="87"/>
      <c r="P403" s="88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</row>
    <row r="404" spans="1:31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8"/>
      <c r="L404" s="88"/>
      <c r="M404" s="87"/>
      <c r="N404" s="87"/>
      <c r="O404" s="87"/>
      <c r="P404" s="88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</row>
    <row r="405" spans="1:31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8"/>
      <c r="L405" s="88"/>
      <c r="M405" s="87"/>
      <c r="N405" s="87"/>
      <c r="O405" s="87"/>
      <c r="P405" s="88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</row>
    <row r="406" spans="1:31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8"/>
      <c r="L406" s="88"/>
      <c r="M406" s="87"/>
      <c r="N406" s="87"/>
      <c r="O406" s="87"/>
      <c r="P406" s="88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</row>
    <row r="407" spans="1:31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8"/>
      <c r="L407" s="88"/>
      <c r="M407" s="87"/>
      <c r="N407" s="87"/>
      <c r="O407" s="87"/>
      <c r="P407" s="88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</row>
    <row r="408" spans="1:31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8"/>
      <c r="L408" s="88"/>
      <c r="M408" s="87"/>
      <c r="N408" s="87"/>
      <c r="O408" s="87"/>
      <c r="P408" s="88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</row>
    <row r="409" spans="1:31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8"/>
      <c r="L409" s="88"/>
      <c r="M409" s="87"/>
      <c r="N409" s="87"/>
      <c r="O409" s="87"/>
      <c r="P409" s="88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</row>
    <row r="410" spans="1:31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8"/>
      <c r="L410" s="88"/>
      <c r="M410" s="87"/>
      <c r="N410" s="87"/>
      <c r="O410" s="87"/>
      <c r="P410" s="88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</row>
    <row r="411" spans="1:31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8"/>
      <c r="L411" s="88"/>
      <c r="M411" s="87"/>
      <c r="N411" s="87"/>
      <c r="O411" s="87"/>
      <c r="P411" s="88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</row>
    <row r="412" spans="1:31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8"/>
      <c r="L412" s="88"/>
      <c r="M412" s="87"/>
      <c r="N412" s="87"/>
      <c r="O412" s="87"/>
      <c r="P412" s="88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</row>
    <row r="413" spans="1:31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8"/>
      <c r="L413" s="88"/>
      <c r="M413" s="87"/>
      <c r="N413" s="87"/>
      <c r="O413" s="87"/>
      <c r="P413" s="88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</row>
    <row r="414" spans="1:31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8"/>
      <c r="L414" s="88"/>
      <c r="M414" s="87"/>
      <c r="N414" s="87"/>
      <c r="O414" s="87"/>
      <c r="P414" s="88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</row>
    <row r="415" spans="1:31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8"/>
      <c r="L415" s="88"/>
      <c r="M415" s="87"/>
      <c r="N415" s="87"/>
      <c r="O415" s="87"/>
      <c r="P415" s="88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</row>
    <row r="416" spans="1:31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8"/>
      <c r="L416" s="88"/>
      <c r="M416" s="87"/>
      <c r="N416" s="87"/>
      <c r="O416" s="87"/>
      <c r="P416" s="88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</row>
    <row r="417" spans="1:31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8"/>
      <c r="L417" s="88"/>
      <c r="M417" s="87"/>
      <c r="N417" s="87"/>
      <c r="O417" s="87"/>
      <c r="P417" s="88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</row>
    <row r="418" spans="1:31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8"/>
      <c r="L418" s="88"/>
      <c r="M418" s="87"/>
      <c r="N418" s="87"/>
      <c r="O418" s="87"/>
      <c r="P418" s="88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</row>
    <row r="419" spans="1:31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8"/>
      <c r="L419" s="88"/>
      <c r="M419" s="87"/>
      <c r="N419" s="87"/>
      <c r="O419" s="87"/>
      <c r="P419" s="88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</row>
    <row r="420" spans="1:31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8"/>
      <c r="L420" s="88"/>
      <c r="M420" s="87"/>
      <c r="N420" s="87"/>
      <c r="O420" s="87"/>
      <c r="P420" s="88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</row>
    <row r="421" spans="1:31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8"/>
      <c r="L421" s="88"/>
      <c r="M421" s="87"/>
      <c r="N421" s="87"/>
      <c r="O421" s="87"/>
      <c r="P421" s="88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</row>
    <row r="422" spans="1:31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8"/>
      <c r="L422" s="88"/>
      <c r="M422" s="87"/>
      <c r="N422" s="87"/>
      <c r="O422" s="87"/>
      <c r="P422" s="88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</row>
    <row r="423" spans="1:31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8"/>
      <c r="L423" s="88"/>
      <c r="M423" s="87"/>
      <c r="N423" s="87"/>
      <c r="O423" s="87"/>
      <c r="P423" s="88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</row>
    <row r="424" spans="1:31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8"/>
      <c r="L424" s="88"/>
      <c r="M424" s="87"/>
      <c r="N424" s="87"/>
      <c r="O424" s="87"/>
      <c r="P424" s="88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</row>
    <row r="425" spans="1:31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8"/>
      <c r="L425" s="88"/>
      <c r="M425" s="87"/>
      <c r="N425" s="87"/>
      <c r="O425" s="87"/>
      <c r="P425" s="88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</row>
    <row r="426" spans="1:31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8"/>
      <c r="L426" s="88"/>
      <c r="M426" s="87"/>
      <c r="N426" s="87"/>
      <c r="O426" s="87"/>
      <c r="P426" s="88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E33"/>
  <sheetViews>
    <sheetView topLeftCell="B6" workbookViewId="0">
      <selection activeCell="D19" sqref="D19"/>
    </sheetView>
  </sheetViews>
  <sheetFormatPr defaultColWidth="11.42578125" defaultRowHeight="15" x14ac:dyDescent="0.3"/>
  <cols>
    <col min="1" max="1" width="19.5703125" style="1" customWidth="1"/>
    <col min="2" max="2" width="14" style="1" bestFit="1" customWidth="1"/>
    <col min="3" max="3" width="14.28515625" style="1" bestFit="1" customWidth="1"/>
    <col min="4" max="4" width="12.5703125" style="1" bestFit="1" customWidth="1"/>
    <col min="5" max="5" width="11.5703125" style="1" bestFit="1" customWidth="1"/>
    <col min="6" max="16384" width="11.42578125" style="1"/>
  </cols>
  <sheetData>
    <row r="1" spans="2:5" ht="22.5" x14ac:dyDescent="0.45">
      <c r="B1" s="104" t="s">
        <v>97</v>
      </c>
      <c r="C1" s="104"/>
      <c r="D1" s="104"/>
      <c r="E1" s="104"/>
    </row>
    <row r="3" spans="2:5" ht="16.5" x14ac:dyDescent="0.35">
      <c r="B3" s="3" t="s">
        <v>137</v>
      </c>
    </row>
    <row r="5" spans="2:5" x14ac:dyDescent="0.3">
      <c r="B5" s="8" t="s">
        <v>42</v>
      </c>
      <c r="C5" s="8" t="s">
        <v>44</v>
      </c>
      <c r="D5" s="8" t="s">
        <v>46</v>
      </c>
      <c r="E5" s="8" t="s">
        <v>48</v>
      </c>
    </row>
    <row r="6" spans="2:5" x14ac:dyDescent="0.3">
      <c r="B6" s="8" t="s">
        <v>43</v>
      </c>
      <c r="C6" s="8" t="s">
        <v>45</v>
      </c>
      <c r="D6" s="8" t="s">
        <v>47</v>
      </c>
      <c r="E6" s="8"/>
    </row>
    <row r="8" spans="2:5" x14ac:dyDescent="0.3">
      <c r="B8" s="30">
        <v>0.01</v>
      </c>
      <c r="C8" s="31">
        <v>5153.22</v>
      </c>
      <c r="D8" s="30">
        <v>0</v>
      </c>
      <c r="E8" s="31">
        <v>1.92</v>
      </c>
    </row>
    <row r="9" spans="2:5" x14ac:dyDescent="0.3">
      <c r="B9" s="31">
        <v>5952.85</v>
      </c>
      <c r="C9" s="31">
        <v>50524.92</v>
      </c>
      <c r="D9" s="31">
        <v>114.29</v>
      </c>
      <c r="E9" s="31">
        <v>6.4</v>
      </c>
    </row>
    <row r="10" spans="2:5" x14ac:dyDescent="0.3">
      <c r="B10" s="31">
        <v>50524.93</v>
      </c>
      <c r="C10" s="31">
        <v>88793.04</v>
      </c>
      <c r="D10" s="31">
        <v>2966.91</v>
      </c>
      <c r="E10" s="31">
        <v>10.88</v>
      </c>
    </row>
    <row r="11" spans="2:5" x14ac:dyDescent="0.3">
      <c r="B11" s="31">
        <v>88793.05</v>
      </c>
      <c r="C11" s="31">
        <v>103218</v>
      </c>
      <c r="D11" s="31">
        <v>7130.48</v>
      </c>
      <c r="E11" s="31">
        <v>16</v>
      </c>
    </row>
    <row r="12" spans="2:5" x14ac:dyDescent="0.3">
      <c r="B12" s="31">
        <v>103218.01</v>
      </c>
      <c r="C12" s="31">
        <v>123580.2</v>
      </c>
      <c r="D12" s="31">
        <v>9438.4699999999993</v>
      </c>
      <c r="E12" s="31">
        <v>17.920000000000002</v>
      </c>
    </row>
    <row r="13" spans="2:5" x14ac:dyDescent="0.3">
      <c r="B13" s="31">
        <v>123580.21</v>
      </c>
      <c r="C13" s="31">
        <v>249243.48</v>
      </c>
      <c r="D13" s="31">
        <v>13087.37</v>
      </c>
      <c r="E13" s="31">
        <v>21.36</v>
      </c>
    </row>
    <row r="14" spans="2:5" x14ac:dyDescent="0.3">
      <c r="B14" s="31">
        <v>249243.49</v>
      </c>
      <c r="C14" s="32">
        <v>392841.96</v>
      </c>
      <c r="D14" s="31">
        <v>39929.050000000003</v>
      </c>
      <c r="E14" s="31">
        <v>23.52</v>
      </c>
    </row>
    <row r="15" spans="2:5" x14ac:dyDescent="0.3">
      <c r="B15" s="2">
        <v>392841.97</v>
      </c>
      <c r="C15" s="2">
        <v>750000</v>
      </c>
      <c r="D15" s="2">
        <v>73703.41</v>
      </c>
      <c r="E15" s="31">
        <v>30</v>
      </c>
    </row>
    <row r="16" spans="2:5" x14ac:dyDescent="0.3">
      <c r="B16" s="31">
        <v>750000.01</v>
      </c>
      <c r="C16" s="31">
        <v>1000000</v>
      </c>
      <c r="D16" s="31">
        <v>180850.82</v>
      </c>
      <c r="E16" s="2">
        <v>32</v>
      </c>
    </row>
    <row r="17" spans="2:5" x14ac:dyDescent="0.3">
      <c r="B17" s="31">
        <v>1000000.01</v>
      </c>
      <c r="C17" s="31">
        <v>3000000</v>
      </c>
      <c r="D17" s="31">
        <v>260850.81</v>
      </c>
      <c r="E17" s="2">
        <v>34</v>
      </c>
    </row>
    <row r="18" spans="2:5" x14ac:dyDescent="0.3">
      <c r="B18" s="31">
        <v>3000000.01</v>
      </c>
      <c r="C18" s="2" t="s">
        <v>49</v>
      </c>
      <c r="D18" s="31">
        <v>940850.81</v>
      </c>
      <c r="E18" s="2">
        <v>35</v>
      </c>
    </row>
    <row r="19" spans="2:5" x14ac:dyDescent="0.3">
      <c r="B19" s="31"/>
      <c r="C19" s="31"/>
      <c r="D19" s="31"/>
      <c r="E19" s="2"/>
    </row>
    <row r="20" spans="2:5" x14ac:dyDescent="0.3">
      <c r="B20" s="31"/>
      <c r="C20" s="32"/>
      <c r="D20" s="31"/>
      <c r="E20" s="2"/>
    </row>
    <row r="21" spans="2:5" x14ac:dyDescent="0.3">
      <c r="B21" s="2"/>
      <c r="C21" s="2"/>
      <c r="D21" s="2"/>
      <c r="E21" s="2"/>
    </row>
    <row r="22" spans="2:5" x14ac:dyDescent="0.3">
      <c r="B22" s="2"/>
      <c r="C22" s="2"/>
      <c r="D22" s="2"/>
      <c r="E22" s="2"/>
    </row>
    <row r="23" spans="2:5" x14ac:dyDescent="0.3">
      <c r="B23" s="2"/>
      <c r="C23" s="2"/>
      <c r="D23" s="2"/>
      <c r="E23" s="2"/>
    </row>
    <row r="24" spans="2:5" x14ac:dyDescent="0.3">
      <c r="B24" s="2"/>
      <c r="C24" s="2"/>
      <c r="D24" s="2"/>
      <c r="E24" s="2"/>
    </row>
    <row r="25" spans="2:5" x14ac:dyDescent="0.3">
      <c r="B25" s="2"/>
      <c r="C25" s="2"/>
      <c r="D25" s="2"/>
      <c r="E25" s="2"/>
    </row>
    <row r="26" spans="2:5" x14ac:dyDescent="0.3">
      <c r="B26" s="2"/>
      <c r="C26" s="7"/>
      <c r="D26" s="2"/>
    </row>
    <row r="28" spans="2:5" ht="16.5" x14ac:dyDescent="0.35">
      <c r="B28" s="3"/>
    </row>
    <row r="30" spans="2:5" x14ac:dyDescent="0.3">
      <c r="E30" s="2"/>
    </row>
    <row r="31" spans="2:5" x14ac:dyDescent="0.3">
      <c r="E31" s="2"/>
    </row>
    <row r="32" spans="2:5" x14ac:dyDescent="0.3">
      <c r="E32" s="2"/>
    </row>
    <row r="33" spans="5:5" x14ac:dyDescent="0.3">
      <c r="E33" s="2"/>
    </row>
  </sheetData>
  <mergeCells count="1">
    <mergeCell ref="B1:E1"/>
  </mergeCells>
  <phoneticPr fontId="0" type="noConversion"/>
  <pageMargins left="0.75" right="0.75" top="1" bottom="1" header="0" footer="0"/>
  <pageSetup orientation="portrait" horizontalDpi="180" verticalDpi="18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M58"/>
  <sheetViews>
    <sheetView topLeftCell="B8" workbookViewId="0">
      <selection activeCell="L32" sqref="L32"/>
    </sheetView>
  </sheetViews>
  <sheetFormatPr defaultColWidth="11.42578125" defaultRowHeight="12.75" x14ac:dyDescent="0.25"/>
  <cols>
    <col min="1" max="1" width="3.85546875" style="9" customWidth="1"/>
    <col min="2" max="16384" width="11.42578125" style="9"/>
  </cols>
  <sheetData>
    <row r="2" spans="2:13" ht="14.25" x14ac:dyDescent="0.3">
      <c r="B2" s="11" t="s">
        <v>84</v>
      </c>
    </row>
    <row r="3" spans="2:13" ht="14.25" thickBot="1" x14ac:dyDescent="0.3">
      <c r="G3" s="43" t="s">
        <v>123</v>
      </c>
      <c r="H3" s="44">
        <f>50.57*3</f>
        <v>151.71</v>
      </c>
    </row>
    <row r="4" spans="2:13" ht="15" thickTop="1" x14ac:dyDescent="0.3">
      <c r="B4" s="15" t="s">
        <v>0</v>
      </c>
      <c r="C4" s="16" t="s">
        <v>194</v>
      </c>
      <c r="D4" s="27" t="s">
        <v>69</v>
      </c>
      <c r="E4" s="27"/>
      <c r="F4" s="27"/>
      <c r="G4" s="17" t="s">
        <v>73</v>
      </c>
      <c r="H4" s="17" t="s">
        <v>74</v>
      </c>
      <c r="I4" s="17" t="s">
        <v>73</v>
      </c>
      <c r="J4" s="17" t="s">
        <v>74</v>
      </c>
      <c r="K4" s="17" t="s">
        <v>74</v>
      </c>
      <c r="L4" s="12" t="s">
        <v>73</v>
      </c>
      <c r="M4" s="9" t="s">
        <v>124</v>
      </c>
    </row>
    <row r="5" spans="2:13" ht="13.5" thickBot="1" x14ac:dyDescent="0.3">
      <c r="B5" s="18"/>
      <c r="C5" s="19">
        <v>62.33</v>
      </c>
      <c r="D5" s="20" t="s">
        <v>82</v>
      </c>
      <c r="E5" s="20" t="s">
        <v>66</v>
      </c>
      <c r="F5" s="20" t="s">
        <v>68</v>
      </c>
      <c r="G5" s="20" t="s">
        <v>70</v>
      </c>
      <c r="H5" s="20" t="s">
        <v>71</v>
      </c>
      <c r="I5" s="20" t="s">
        <v>72</v>
      </c>
      <c r="J5" s="20" t="s">
        <v>75</v>
      </c>
      <c r="K5" s="20" t="s">
        <v>76</v>
      </c>
      <c r="L5" s="13" t="s">
        <v>77</v>
      </c>
      <c r="M5" s="9" t="s">
        <v>125</v>
      </c>
    </row>
    <row r="6" spans="2:13" ht="15.75" thickTop="1" thickBot="1" x14ac:dyDescent="0.35">
      <c r="B6" s="21"/>
      <c r="C6" s="16" t="s">
        <v>104</v>
      </c>
      <c r="D6" s="23" t="s">
        <v>65</v>
      </c>
      <c r="E6" s="23" t="s">
        <v>67</v>
      </c>
      <c r="F6" s="23">
        <v>1.75</v>
      </c>
      <c r="G6" s="23">
        <v>1.75</v>
      </c>
      <c r="H6" s="45">
        <v>0.01</v>
      </c>
      <c r="I6" s="46">
        <v>3.15E-2</v>
      </c>
      <c r="J6" s="23">
        <v>2.5000000000000001E-3</v>
      </c>
      <c r="K6" s="45">
        <v>0.02</v>
      </c>
      <c r="L6" s="47">
        <v>0.05</v>
      </c>
      <c r="M6" s="9" t="s">
        <v>126</v>
      </c>
    </row>
    <row r="7" spans="2:13" ht="13.5" x14ac:dyDescent="0.25">
      <c r="B7" s="18" t="s">
        <v>50</v>
      </c>
      <c r="C7" s="38">
        <f>+Eleuterio!C3</f>
        <v>105.05197814207651</v>
      </c>
      <c r="D7" s="41">
        <f>$C$5*D8*0.1975</f>
        <v>4308.5612499999997</v>
      </c>
      <c r="E7" s="42">
        <v>0</v>
      </c>
      <c r="F7" s="42">
        <f>C7*F8*1.75%</f>
        <v>643.44336612021868</v>
      </c>
      <c r="G7" s="42">
        <f>C7*G8*1.75%</f>
        <v>643.44336612021868</v>
      </c>
      <c r="H7" s="41">
        <f>+C7*H8*$H$6</f>
        <v>367.6819234972678</v>
      </c>
      <c r="I7" s="42">
        <f>+C7*I8*$I$6</f>
        <v>1158.1980590163935</v>
      </c>
      <c r="J7" s="41">
        <f>+C7*J8*$J$6</f>
        <v>91.920480874316951</v>
      </c>
      <c r="K7" s="42">
        <f>+C7*K8*$K$6</f>
        <v>766.87944043715845</v>
      </c>
      <c r="L7" s="41">
        <f>+C7*L8*$L$6</f>
        <v>1917.1986010928963</v>
      </c>
      <c r="M7" s="48">
        <f>SUM(D7:L7)</f>
        <v>9897.3264871584706</v>
      </c>
    </row>
    <row r="8" spans="2:13" ht="13.5" thickBot="1" x14ac:dyDescent="0.3">
      <c r="B8" s="21" t="s">
        <v>51</v>
      </c>
      <c r="C8" s="22"/>
      <c r="D8" s="28">
        <v>350</v>
      </c>
      <c r="E8" s="28">
        <v>350</v>
      </c>
      <c r="F8" s="28">
        <v>350</v>
      </c>
      <c r="G8" s="28">
        <v>350</v>
      </c>
      <c r="H8" s="28">
        <v>350</v>
      </c>
      <c r="I8" s="28">
        <v>350</v>
      </c>
      <c r="J8" s="28">
        <v>350</v>
      </c>
      <c r="K8" s="28">
        <v>365</v>
      </c>
      <c r="L8" s="29">
        <v>365</v>
      </c>
    </row>
    <row r="9" spans="2:13" ht="13.5" x14ac:dyDescent="0.25">
      <c r="B9" s="18" t="s">
        <v>52</v>
      </c>
      <c r="C9" s="38">
        <f>+Javier!B3</f>
        <v>135.07387978142077</v>
      </c>
      <c r="D9" s="41">
        <f>$C$5*D10*0.1975</f>
        <v>3939.2559999999999</v>
      </c>
      <c r="E9" s="42">
        <v>0</v>
      </c>
      <c r="F9" s="42">
        <f>C9*F10*1.75%</f>
        <v>756.41372677595643</v>
      </c>
      <c r="G9" s="42">
        <f>C9*G10*1.75%</f>
        <v>756.41372677595643</v>
      </c>
      <c r="H9" s="41">
        <f>+C9*H10*$H$6</f>
        <v>432.23641530054653</v>
      </c>
      <c r="I9" s="42">
        <f>+C9*I10*$I$6</f>
        <v>1361.5447081967216</v>
      </c>
      <c r="J9" s="41">
        <f>+C9*J10*$J$6</f>
        <v>108.05910382513663</v>
      </c>
      <c r="K9" s="42">
        <f>+C9*K10*$K$6</f>
        <v>986.03932240437166</v>
      </c>
      <c r="L9" s="41">
        <f>+C9*L10*$L$6</f>
        <v>2465.0983060109293</v>
      </c>
      <c r="M9" s="48">
        <f>SUM(D9:L9)</f>
        <v>10805.061309289616</v>
      </c>
    </row>
    <row r="10" spans="2:13" ht="13.5" thickBot="1" x14ac:dyDescent="0.3">
      <c r="B10" s="21" t="s">
        <v>51</v>
      </c>
      <c r="C10" s="22"/>
      <c r="D10" s="28">
        <v>320</v>
      </c>
      <c r="E10" s="28">
        <v>320</v>
      </c>
      <c r="F10" s="28">
        <v>320</v>
      </c>
      <c r="G10" s="28">
        <v>320</v>
      </c>
      <c r="H10" s="28">
        <v>320</v>
      </c>
      <c r="I10" s="28">
        <v>320</v>
      </c>
      <c r="J10" s="28">
        <v>320</v>
      </c>
      <c r="K10" s="28">
        <v>365</v>
      </c>
      <c r="L10" s="29">
        <v>365</v>
      </c>
    </row>
    <row r="11" spans="2:13" ht="13.5" x14ac:dyDescent="0.25">
      <c r="B11" s="18" t="s">
        <v>53</v>
      </c>
      <c r="C11" s="38">
        <f>+Eusebio!C3</f>
        <v>128.93005464480873</v>
      </c>
      <c r="D11" s="41">
        <f>$C$5*D12*0.1975</f>
        <v>4111.5984500000004</v>
      </c>
      <c r="E11" s="42">
        <f>(C11-$H$3)*1.59%*E12</f>
        <v>-120.97517780327878</v>
      </c>
      <c r="F11" s="42">
        <f>C11*F12*1.75%</f>
        <v>753.59616939890714</v>
      </c>
      <c r="G11" s="42">
        <f>C11*G12*1.75%</f>
        <v>753.59616939890714</v>
      </c>
      <c r="H11" s="41">
        <f>+C11*H12*$H$6</f>
        <v>430.62638251366116</v>
      </c>
      <c r="I11" s="42">
        <f>+C11*I12*$I$6</f>
        <v>1356.4731049180327</v>
      </c>
      <c r="J11" s="41">
        <f>+C11*J12*$J$6</f>
        <v>107.65659562841529</v>
      </c>
      <c r="K11" s="42">
        <f>+C11*K12*$K$6</f>
        <v>941.18939890710374</v>
      </c>
      <c r="L11" s="41">
        <f>+C11*L12*$L$6</f>
        <v>2352.9734972677593</v>
      </c>
      <c r="M11" s="48">
        <f>SUM(D11:L11)</f>
        <v>10686.734590229509</v>
      </c>
    </row>
    <row r="12" spans="2:13" ht="13.5" thickBot="1" x14ac:dyDescent="0.3">
      <c r="B12" s="21" t="s">
        <v>51</v>
      </c>
      <c r="C12" s="22"/>
      <c r="D12" s="28">
        <v>334</v>
      </c>
      <c r="E12" s="28">
        <v>334</v>
      </c>
      <c r="F12" s="28">
        <v>334</v>
      </c>
      <c r="G12" s="28">
        <v>334</v>
      </c>
      <c r="H12" s="28">
        <v>334</v>
      </c>
      <c r="I12" s="28">
        <v>334</v>
      </c>
      <c r="J12" s="28">
        <v>334</v>
      </c>
      <c r="K12" s="28">
        <v>365</v>
      </c>
      <c r="L12" s="29">
        <v>365</v>
      </c>
    </row>
    <row r="13" spans="2:13" ht="13.5" x14ac:dyDescent="0.25">
      <c r="B13" s="18" t="s">
        <v>113</v>
      </c>
      <c r="C13" s="38">
        <f>+Jimena!C3</f>
        <v>142.54863387978142</v>
      </c>
      <c r="D13" s="41">
        <f>$C$5*D14*0.1975</f>
        <v>3877.7051250000004</v>
      </c>
      <c r="E13" s="42">
        <f>(C13-$H$3)*1.59%*E14</f>
        <v>-45.884702213114807</v>
      </c>
      <c r="F13" s="42">
        <f>C13*F14*1.75%</f>
        <v>785.79934426229511</v>
      </c>
      <c r="G13" s="42">
        <f>C13*G14*1.75%</f>
        <v>785.79934426229511</v>
      </c>
      <c r="H13" s="41">
        <f>+C13*H14*$H$6</f>
        <v>449.02819672131147</v>
      </c>
      <c r="I13" s="42">
        <f>+C13*I14*$I$6</f>
        <v>1414.4388196721311</v>
      </c>
      <c r="J13" s="41">
        <f>+C13*J14*$J$6</f>
        <v>112.25704918032787</v>
      </c>
      <c r="K13" s="42">
        <f>+C13*K14*$K$6</f>
        <v>1040.6050273224043</v>
      </c>
      <c r="L13" s="41">
        <f>+C13*L14*$L$6</f>
        <v>2601.512568306011</v>
      </c>
      <c r="M13" s="48">
        <f>SUM(D13:L13)</f>
        <v>11021.26077251366</v>
      </c>
    </row>
    <row r="14" spans="2:13" ht="13.5" thickBot="1" x14ac:dyDescent="0.3">
      <c r="B14" s="21" t="s">
        <v>51</v>
      </c>
      <c r="C14" s="22"/>
      <c r="D14" s="28">
        <v>315</v>
      </c>
      <c r="E14" s="28">
        <v>315</v>
      </c>
      <c r="F14" s="28">
        <v>315</v>
      </c>
      <c r="G14" s="28">
        <v>315</v>
      </c>
      <c r="H14" s="28">
        <v>315</v>
      </c>
      <c r="I14" s="28">
        <v>315</v>
      </c>
      <c r="J14" s="28">
        <v>315</v>
      </c>
      <c r="K14" s="28">
        <v>365</v>
      </c>
      <c r="L14" s="29">
        <v>365</v>
      </c>
    </row>
    <row r="15" spans="2:13" ht="13.5" x14ac:dyDescent="0.25">
      <c r="B15" s="18" t="s">
        <v>114</v>
      </c>
      <c r="C15" s="38">
        <f>+Eugenia!C3</f>
        <v>196.93989071038251</v>
      </c>
      <c r="D15" s="41">
        <f>$C$5*D16*0.1975</f>
        <v>4493.2138750000004</v>
      </c>
      <c r="E15" s="42">
        <f>(C15-$H$3)*1.59%*E16</f>
        <v>262.49167073770491</v>
      </c>
      <c r="F15" s="42">
        <f>C15*F16*1.75%</f>
        <v>1257.9535519125684</v>
      </c>
      <c r="G15" s="42">
        <f>C15*G16*1.75%</f>
        <v>1206.256830601093</v>
      </c>
      <c r="H15" s="41">
        <f>+C15*H16*$H$6</f>
        <v>689.2896174863389</v>
      </c>
      <c r="I15" s="42">
        <f>+C15*I16*$I$6</f>
        <v>2171.2622950819673</v>
      </c>
      <c r="J15" s="41">
        <f>+C15*J16*$J$6</f>
        <v>172.32240437158472</v>
      </c>
      <c r="K15" s="42">
        <f>+C15*K16*$K$6</f>
        <v>1378.5792349726778</v>
      </c>
      <c r="L15" s="41">
        <f>+C15*L16*$L$6</f>
        <v>3446.4480874316941</v>
      </c>
      <c r="M15" s="48">
        <f>SUM(D15:L15)</f>
        <v>15077.81756759563</v>
      </c>
    </row>
    <row r="16" spans="2:13" ht="13.5" thickBot="1" x14ac:dyDescent="0.3">
      <c r="B16" s="21" t="s">
        <v>51</v>
      </c>
      <c r="C16" s="22"/>
      <c r="D16" s="28">
        <v>365</v>
      </c>
      <c r="E16" s="28">
        <v>365</v>
      </c>
      <c r="F16" s="28">
        <v>365</v>
      </c>
      <c r="G16" s="28">
        <v>350</v>
      </c>
      <c r="H16" s="28">
        <v>350</v>
      </c>
      <c r="I16" s="28">
        <v>350</v>
      </c>
      <c r="J16" s="28">
        <v>350</v>
      </c>
      <c r="K16" s="28">
        <v>350</v>
      </c>
      <c r="L16" s="29">
        <v>350</v>
      </c>
    </row>
    <row r="17" spans="2:13" ht="13.5" x14ac:dyDescent="0.25">
      <c r="B17" s="18" t="s">
        <v>54</v>
      </c>
      <c r="C17" s="38">
        <f>+Filomeno!C3</f>
        <v>1531.967213114754</v>
      </c>
      <c r="D17" s="41">
        <f>$C$5*D18*0.1975</f>
        <v>4407.0426500000003</v>
      </c>
      <c r="E17" s="42">
        <f>(C17-$H$3)*1.59%*E18</f>
        <v>7856.7001084918038</v>
      </c>
      <c r="F17" s="42">
        <f>C17*F18*1.75%</f>
        <v>9597.7745901639355</v>
      </c>
      <c r="G17" s="42">
        <f>C17*G18*1.75%</f>
        <v>9115.2049180327867</v>
      </c>
      <c r="H17" s="41">
        <f>+C17*H18*$H$6</f>
        <v>5208.688524590164</v>
      </c>
      <c r="I17" s="42">
        <f>+C17*I18*$I$6</f>
        <v>16407.368852459014</v>
      </c>
      <c r="J17" s="41">
        <f>+C17*J18*$J$6</f>
        <v>1302.172131147541</v>
      </c>
      <c r="K17" s="42">
        <f>+C17*K18*$K$6</f>
        <v>10631.852459016394</v>
      </c>
      <c r="L17" s="41">
        <f>+C17*L18*$L$6</f>
        <v>26579.631147540986</v>
      </c>
      <c r="M17" s="48">
        <f>SUM(D17:L17)</f>
        <v>91106.435381442629</v>
      </c>
    </row>
    <row r="18" spans="2:13" ht="13.5" thickBot="1" x14ac:dyDescent="0.3">
      <c r="B18" s="21" t="s">
        <v>51</v>
      </c>
      <c r="C18" s="22"/>
      <c r="D18" s="28">
        <v>358</v>
      </c>
      <c r="E18" s="28">
        <v>358</v>
      </c>
      <c r="F18" s="28">
        <v>358</v>
      </c>
      <c r="G18" s="28">
        <v>340</v>
      </c>
      <c r="H18" s="28">
        <v>340</v>
      </c>
      <c r="I18" s="28">
        <v>340</v>
      </c>
      <c r="J18" s="28">
        <v>340</v>
      </c>
      <c r="K18" s="28">
        <v>347</v>
      </c>
      <c r="L18" s="29">
        <v>347</v>
      </c>
    </row>
    <row r="19" spans="2:13" ht="13.5" x14ac:dyDescent="0.25">
      <c r="B19" s="18" t="s">
        <v>55</v>
      </c>
      <c r="C19" s="38">
        <f>+Eleazar!C3</f>
        <v>163.14207650273224</v>
      </c>
      <c r="D19" s="41">
        <f>$C$5*D20*0.1975</f>
        <v>4443.9731750000001</v>
      </c>
      <c r="E19" s="42">
        <f>(C19-$H$3)*1.59%*E20</f>
        <v>65.618975918032731</v>
      </c>
      <c r="F19" s="42">
        <f>C19*F20*1.75%</f>
        <v>1030.650068306011</v>
      </c>
      <c r="G19" s="42">
        <f>C19*G20*1.75%</f>
        <v>999.24521857923503</v>
      </c>
      <c r="H19" s="41">
        <f>+C19*H20*$H$6</f>
        <v>570.99726775956287</v>
      </c>
      <c r="I19" s="42">
        <f>+C19*I20*$I$6</f>
        <v>1798.641393442623</v>
      </c>
      <c r="J19" s="41">
        <f>+C19*J20*$J$6</f>
        <v>142.74931693989072</v>
      </c>
      <c r="K19" s="42">
        <f>+C19*K20*$K$6</f>
        <v>1155.0459016393443</v>
      </c>
      <c r="L19" s="41">
        <f>+C19*L20*$L$6</f>
        <v>2887.6147540983607</v>
      </c>
      <c r="M19" s="48">
        <f>SUM(D19:L19)</f>
        <v>13094.53607168306</v>
      </c>
    </row>
    <row r="20" spans="2:13" ht="14.25" thickBot="1" x14ac:dyDescent="0.3">
      <c r="B20" s="21" t="s">
        <v>51</v>
      </c>
      <c r="C20"/>
      <c r="D20" s="28">
        <v>361</v>
      </c>
      <c r="E20" s="28">
        <v>361</v>
      </c>
      <c r="F20" s="28">
        <v>361</v>
      </c>
      <c r="G20" s="28">
        <v>350</v>
      </c>
      <c r="H20" s="28">
        <v>350</v>
      </c>
      <c r="I20" s="28">
        <v>350</v>
      </c>
      <c r="J20" s="28">
        <v>350</v>
      </c>
      <c r="K20" s="28">
        <v>354</v>
      </c>
      <c r="L20" s="29">
        <v>354</v>
      </c>
    </row>
    <row r="21" spans="2:13" ht="13.5" x14ac:dyDescent="0.25">
      <c r="B21" s="18" t="s">
        <v>56</v>
      </c>
      <c r="C21" s="38">
        <f>+Jesus!C3</f>
        <v>214.82622950819672</v>
      </c>
      <c r="D21" s="41">
        <f>$C$5*D22*0.1975</f>
        <v>4320.8714250000003</v>
      </c>
      <c r="E21" s="42">
        <v>0</v>
      </c>
      <c r="F21" s="42">
        <f>C21*F22*1.75%</f>
        <v>1319.5701147540985</v>
      </c>
      <c r="G21" s="42">
        <f>C21*G22*1.75%</f>
        <v>1240.6214754098362</v>
      </c>
      <c r="H21" s="41">
        <f>+C21*H22*$H$6</f>
        <v>708.92655737704922</v>
      </c>
      <c r="I21" s="42">
        <f>+C21*I22*$I$6</f>
        <v>2233.118655737705</v>
      </c>
      <c r="J21" s="41">
        <f>+C21*J22*$J$6</f>
        <v>177.23163934426231</v>
      </c>
      <c r="K21" s="42">
        <f>+C21*K22*$K$6</f>
        <v>1478.0044590163936</v>
      </c>
      <c r="L21" s="41">
        <f>+C21*L22*$L$6</f>
        <v>3695.011147540984</v>
      </c>
      <c r="M21" s="48">
        <f>SUM(D21:L21)</f>
        <v>15173.355474180327</v>
      </c>
    </row>
    <row r="22" spans="2:13" ht="13.5" thickBot="1" x14ac:dyDescent="0.3">
      <c r="B22" s="21" t="s">
        <v>51</v>
      </c>
      <c r="C22" s="22"/>
      <c r="D22" s="28">
        <v>351</v>
      </c>
      <c r="E22" s="28">
        <v>351</v>
      </c>
      <c r="F22" s="28">
        <v>351</v>
      </c>
      <c r="G22" s="28">
        <v>330</v>
      </c>
      <c r="H22" s="28">
        <v>330</v>
      </c>
      <c r="I22" s="28">
        <v>330</v>
      </c>
      <c r="J22" s="28">
        <v>330</v>
      </c>
      <c r="K22" s="28">
        <v>344</v>
      </c>
      <c r="L22" s="29">
        <v>344</v>
      </c>
    </row>
    <row r="23" spans="2:13" ht="13.5" x14ac:dyDescent="0.25">
      <c r="B23" s="18" t="s">
        <v>57</v>
      </c>
      <c r="C23" s="38">
        <f>+Elvira!C3</f>
        <v>282.89196721311475</v>
      </c>
      <c r="D23" s="41">
        <f>$C$5*D24*0.1975</f>
        <v>4320.8714250000003</v>
      </c>
      <c r="E23" s="42">
        <f>(C23-$H$3)*1.59%*E24</f>
        <v>732.11344081967206</v>
      </c>
      <c r="F23" s="42">
        <f>C23*F24*1.75%</f>
        <v>1737.6639086065575</v>
      </c>
      <c r="G23" s="42">
        <f>C23*G24*1.75%</f>
        <v>1633.7011106557379</v>
      </c>
      <c r="H23" s="41">
        <f>+C23*H24*$H$6</f>
        <v>933.54349180327881</v>
      </c>
      <c r="I23" s="42">
        <f>+C23*I24*$I$6</f>
        <v>2940.6619991803282</v>
      </c>
      <c r="J23" s="41">
        <f>+C23*J24*$J$6</f>
        <v>233.3858729508197</v>
      </c>
      <c r="K23" s="42">
        <f>+C23*K24*$K$6</f>
        <v>1946.2967344262295</v>
      </c>
      <c r="L23" s="41">
        <f>+C23*L24*$L$6</f>
        <v>4865.7418360655738</v>
      </c>
      <c r="M23" s="48">
        <f>SUM(D23:L23)</f>
        <v>19343.979819508197</v>
      </c>
    </row>
    <row r="24" spans="2:13" ht="13.5" thickBot="1" x14ac:dyDescent="0.3">
      <c r="B24" s="21" t="s">
        <v>51</v>
      </c>
      <c r="C24" s="22"/>
      <c r="D24" s="28">
        <v>351</v>
      </c>
      <c r="E24" s="28">
        <v>351</v>
      </c>
      <c r="F24" s="28">
        <v>351</v>
      </c>
      <c r="G24" s="28">
        <v>330</v>
      </c>
      <c r="H24" s="28">
        <v>330</v>
      </c>
      <c r="I24" s="28">
        <v>330</v>
      </c>
      <c r="J24" s="28">
        <v>330</v>
      </c>
      <c r="K24" s="28">
        <v>344</v>
      </c>
      <c r="L24" s="29">
        <v>344</v>
      </c>
    </row>
    <row r="25" spans="2:13" ht="13.5" x14ac:dyDescent="0.25">
      <c r="B25" s="18" t="s">
        <v>58</v>
      </c>
      <c r="C25" s="38">
        <f>+Juana!C3</f>
        <v>355.54327868852459</v>
      </c>
      <c r="D25" s="41">
        <f>$C$5*D26*0.1975</f>
        <v>4320.8714250000003</v>
      </c>
      <c r="E25" s="42">
        <f>(C25-$H$3)*1.59%*E26</f>
        <v>1137.5731450327869</v>
      </c>
      <c r="F25" s="42">
        <f>C25*F26*1.75%</f>
        <v>2183.9245893442626</v>
      </c>
      <c r="G25" s="42">
        <f>C25*G26*1.75%</f>
        <v>2084.3724713114757</v>
      </c>
      <c r="H25" s="41">
        <f>+C25*H26*$H$6</f>
        <v>1191.0699836065573</v>
      </c>
      <c r="I25" s="42">
        <f>+C25*I26*$I$6</f>
        <v>3751.8704483606557</v>
      </c>
      <c r="J25" s="41">
        <f>+C25*J26*$J$6</f>
        <v>297.76749590163934</v>
      </c>
      <c r="K25" s="42">
        <f>+C25*K26*$K$6</f>
        <v>2488.8029508196723</v>
      </c>
      <c r="L25" s="41">
        <f>+C25*L26*$L$6</f>
        <v>6222.0073770491808</v>
      </c>
      <c r="M25" s="48">
        <f>SUM(D25:L25)</f>
        <v>23678.259886426229</v>
      </c>
    </row>
    <row r="26" spans="2:13" ht="13.5" thickBot="1" x14ac:dyDescent="0.3">
      <c r="B26" s="21" t="s">
        <v>51</v>
      </c>
      <c r="C26" s="22"/>
      <c r="D26" s="28">
        <v>351</v>
      </c>
      <c r="E26" s="28">
        <v>351</v>
      </c>
      <c r="F26" s="28">
        <v>351</v>
      </c>
      <c r="G26" s="28">
        <v>335</v>
      </c>
      <c r="H26" s="28">
        <v>335</v>
      </c>
      <c r="I26" s="28">
        <v>335</v>
      </c>
      <c r="J26" s="28">
        <v>335</v>
      </c>
      <c r="K26" s="28">
        <v>350</v>
      </c>
      <c r="L26" s="29">
        <v>350</v>
      </c>
    </row>
    <row r="27" spans="2:13" ht="13.5" x14ac:dyDescent="0.25">
      <c r="B27" s="18" t="s">
        <v>59</v>
      </c>
      <c r="C27" s="38">
        <f>+Enrique!C3</f>
        <v>510.15923497267761</v>
      </c>
      <c r="D27" s="41">
        <f>$C$5*D28*0.1975</f>
        <v>4407.0426500000003</v>
      </c>
      <c r="E27" s="42">
        <v>0</v>
      </c>
      <c r="F27" s="42">
        <f>C27*F28*1.75%</f>
        <v>3196.1476071038255</v>
      </c>
      <c r="G27" s="42">
        <f>C27*G28*1.75%</f>
        <v>2990.8085150273228</v>
      </c>
      <c r="H27" s="41">
        <f>+C27*H28*$H$6</f>
        <v>1709.0334371584702</v>
      </c>
      <c r="I27" s="42">
        <f>+C27*I28*$I$6</f>
        <v>5383.4553270491806</v>
      </c>
      <c r="J27" s="41">
        <f>+C27*J28*$J$6</f>
        <v>427.25835928961754</v>
      </c>
      <c r="K27" s="42">
        <f>+C27*K28*$K$6</f>
        <v>3489.4891672131148</v>
      </c>
      <c r="L27" s="41">
        <f>+C27*L28*$L$6</f>
        <v>8723.7229180327868</v>
      </c>
      <c r="M27" s="48">
        <f>SUM(D27:L27)</f>
        <v>30326.957980874322</v>
      </c>
    </row>
    <row r="28" spans="2:13" ht="13.5" thickBot="1" x14ac:dyDescent="0.3">
      <c r="B28" s="21" t="s">
        <v>51</v>
      </c>
      <c r="C28" s="22"/>
      <c r="D28" s="28">
        <v>358</v>
      </c>
      <c r="E28" s="28">
        <v>358</v>
      </c>
      <c r="F28" s="28">
        <v>358</v>
      </c>
      <c r="G28" s="28">
        <v>335</v>
      </c>
      <c r="H28" s="28">
        <v>335</v>
      </c>
      <c r="I28" s="28">
        <v>335</v>
      </c>
      <c r="J28" s="28">
        <v>335</v>
      </c>
      <c r="K28" s="28">
        <v>342</v>
      </c>
      <c r="L28" s="29">
        <v>342</v>
      </c>
    </row>
    <row r="29" spans="2:13" ht="13.5" x14ac:dyDescent="0.25">
      <c r="B29" s="18" t="s">
        <v>60</v>
      </c>
      <c r="C29" s="38">
        <f>+Jorge!C3</f>
        <v>608.62021857923503</v>
      </c>
      <c r="D29" s="41">
        <f>$C$5*D30*0.1975</f>
        <v>4407.0426500000003</v>
      </c>
      <c r="E29" s="42">
        <f>(C29-$H$3)*1.59%*E30</f>
        <v>2600.8243461967213</v>
      </c>
      <c r="F29" s="42">
        <f>C29*F30*1.75%</f>
        <v>3813.0056693989081</v>
      </c>
      <c r="G29" s="42">
        <f>C29*G30*1.75%</f>
        <v>3546.7343237704927</v>
      </c>
      <c r="H29" s="41">
        <f>+C29*H30*$H$6</f>
        <v>2026.7053278688529</v>
      </c>
      <c r="I29" s="42">
        <f>+C29*I30*$I$6</f>
        <v>6384.1217827868859</v>
      </c>
      <c r="J29" s="41">
        <f>+C29*J30*$J$6</f>
        <v>506.67633196721323</v>
      </c>
      <c r="K29" s="42">
        <f>+C29*K30*$K$6</f>
        <v>4138.6174863387987</v>
      </c>
      <c r="L29" s="41">
        <f>+C29*L30*$L$6</f>
        <v>10346.543715846996</v>
      </c>
      <c r="M29" s="48">
        <f>SUM(D29:L29)</f>
        <v>37770.271634174867</v>
      </c>
    </row>
    <row r="30" spans="2:13" ht="13.5" thickBot="1" x14ac:dyDescent="0.3">
      <c r="B30" s="21" t="s">
        <v>51</v>
      </c>
      <c r="C30" s="22"/>
      <c r="D30" s="28">
        <v>358</v>
      </c>
      <c r="E30" s="28">
        <v>358</v>
      </c>
      <c r="F30" s="28">
        <v>358</v>
      </c>
      <c r="G30" s="28">
        <v>333</v>
      </c>
      <c r="H30" s="28">
        <v>333</v>
      </c>
      <c r="I30" s="28">
        <v>333</v>
      </c>
      <c r="J30" s="28">
        <v>333</v>
      </c>
      <c r="K30" s="28">
        <v>340</v>
      </c>
      <c r="L30" s="29">
        <v>340</v>
      </c>
    </row>
    <row r="31" spans="2:13" ht="13.5" x14ac:dyDescent="0.25">
      <c r="B31" s="18" t="s">
        <v>115</v>
      </c>
      <c r="C31" s="38">
        <f>+Ana!C3</f>
        <v>638.98907103825138</v>
      </c>
      <c r="D31" s="41">
        <f>$C$5*D32*0.1975</f>
        <v>4407.0426500000003</v>
      </c>
      <c r="E31" s="42">
        <f>(C31-$H$3)*1.59%*E32</f>
        <v>2773.6899281639344</v>
      </c>
      <c r="F31" s="42">
        <f>C31*F32*1.75%</f>
        <v>4003.2665300546455</v>
      </c>
      <c r="G31" s="42">
        <f>C31*G32*1.75%</f>
        <v>3801.984972677596</v>
      </c>
      <c r="H31" s="41">
        <f>+C31*H32*$H$6</f>
        <v>2172.5628415300548</v>
      </c>
      <c r="I31" s="42">
        <f>+C31*I32*$I$6</f>
        <v>6843.5729508196719</v>
      </c>
      <c r="J31" s="41">
        <f>+C31*J32*$J$6</f>
        <v>543.1407103825137</v>
      </c>
      <c r="K31" s="42">
        <f>+C31*K32*$K$6</f>
        <v>4434.5841530054649</v>
      </c>
      <c r="L31" s="41">
        <f>+C31*L32*$L$6</f>
        <v>11086.460382513662</v>
      </c>
      <c r="M31" s="48">
        <f>SUM(D31:L31)</f>
        <v>40066.305119147539</v>
      </c>
    </row>
    <row r="32" spans="2:13" ht="13.5" thickBot="1" x14ac:dyDescent="0.3">
      <c r="B32" s="18" t="s">
        <v>51</v>
      </c>
      <c r="C32" s="19"/>
      <c r="D32" s="35">
        <v>358</v>
      </c>
      <c r="E32" s="35">
        <v>358</v>
      </c>
      <c r="F32" s="35">
        <v>358</v>
      </c>
      <c r="G32" s="35">
        <v>340</v>
      </c>
      <c r="H32" s="35">
        <v>340</v>
      </c>
      <c r="I32" s="35">
        <v>340</v>
      </c>
      <c r="J32" s="35">
        <v>340</v>
      </c>
      <c r="K32" s="35">
        <v>347</v>
      </c>
      <c r="L32" s="36">
        <v>347</v>
      </c>
    </row>
    <row r="33" spans="2:13" ht="13.5" x14ac:dyDescent="0.25">
      <c r="B33" s="18" t="s">
        <v>116</v>
      </c>
      <c r="C33" s="39">
        <f>+'[1]Ema '!C3</f>
        <v>327.85797945205479</v>
      </c>
      <c r="D33" s="41">
        <f>$C$5*D34*0.1975</f>
        <v>4407.0426500000003</v>
      </c>
      <c r="E33" s="42">
        <f>(C33-$H$3)*1.59%*E34</f>
        <v>1002.6695286369863</v>
      </c>
      <c r="F33" s="42">
        <f>C33*F34*1.75%</f>
        <v>2054.0302412671235</v>
      </c>
      <c r="G33" s="42">
        <f>C33*G34*1.75%</f>
        <v>1893.3798313356167</v>
      </c>
      <c r="H33" s="41">
        <f>+C33*H34*$H$6</f>
        <v>1081.9313321917809</v>
      </c>
      <c r="I33" s="42">
        <f>+C33*I34*$I$6</f>
        <v>3408.0836964041096</v>
      </c>
      <c r="J33" s="41">
        <f>+C33*J34*$J$6</f>
        <v>270.48283304794523</v>
      </c>
      <c r="K33" s="42">
        <f>+C33*K34*$K$6</f>
        <v>2209.7627815068495</v>
      </c>
      <c r="L33" s="41">
        <f>+C33*L34*$L$6</f>
        <v>5524.4069537671239</v>
      </c>
      <c r="M33" s="48">
        <f>SUM(D33:L33)</f>
        <v>21851.789848157539</v>
      </c>
    </row>
    <row r="34" spans="2:13" ht="13.5" thickBot="1" x14ac:dyDescent="0.3">
      <c r="B34" s="18" t="s">
        <v>51</v>
      </c>
      <c r="C34" s="19"/>
      <c r="D34" s="35">
        <v>358</v>
      </c>
      <c r="E34" s="35">
        <v>358</v>
      </c>
      <c r="F34" s="35">
        <v>358</v>
      </c>
      <c r="G34" s="35">
        <v>330</v>
      </c>
      <c r="H34" s="35">
        <v>330</v>
      </c>
      <c r="I34" s="35">
        <v>330</v>
      </c>
      <c r="J34" s="35">
        <v>330</v>
      </c>
      <c r="K34" s="35">
        <v>337</v>
      </c>
      <c r="L34" s="36">
        <v>337</v>
      </c>
    </row>
    <row r="35" spans="2:13" ht="13.5" x14ac:dyDescent="0.25">
      <c r="B35" s="18" t="s">
        <v>117</v>
      </c>
      <c r="C35" s="39">
        <f>+'[2]Rosa '!C3</f>
        <v>327.85797945205479</v>
      </c>
      <c r="D35" s="41">
        <f>$C$5*D36*0.1975</f>
        <v>4407.0426500000003</v>
      </c>
      <c r="E35" s="42">
        <f>(C35-$H$3)*1.59%*E36</f>
        <v>1002.6695286369863</v>
      </c>
      <c r="F35" s="42">
        <f>C35*F36*1.75%</f>
        <v>2054.0302412671235</v>
      </c>
      <c r="G35" s="42">
        <f>C35*G36*1.75%</f>
        <v>2054.0302412671235</v>
      </c>
      <c r="H35" s="41">
        <f>+C35*H36*$H$6</f>
        <v>1114.7171301369863</v>
      </c>
      <c r="I35" s="42">
        <f>+C35*I36*$I$6</f>
        <v>3511.3589599315069</v>
      </c>
      <c r="J35" s="41">
        <f>+C35*J36*$J$6</f>
        <v>278.67928253424657</v>
      </c>
      <c r="K35" s="42">
        <f>+C35*K36*$K$6</f>
        <v>2275.3343773972606</v>
      </c>
      <c r="L35" s="41">
        <f>+C35*L36*$L$6</f>
        <v>5688.3359434931517</v>
      </c>
      <c r="M35" s="48">
        <f>SUM(D35:L35)</f>
        <v>22386.198354664386</v>
      </c>
    </row>
    <row r="36" spans="2:13" ht="13.5" thickBot="1" x14ac:dyDescent="0.3">
      <c r="B36" s="18" t="s">
        <v>51</v>
      </c>
      <c r="C36" s="19"/>
      <c r="D36" s="35">
        <v>358</v>
      </c>
      <c r="E36" s="35">
        <v>358</v>
      </c>
      <c r="F36" s="35">
        <v>358</v>
      </c>
      <c r="G36" s="35">
        <v>358</v>
      </c>
      <c r="H36" s="35">
        <v>340</v>
      </c>
      <c r="I36" s="35">
        <v>340</v>
      </c>
      <c r="J36" s="35">
        <v>340</v>
      </c>
      <c r="K36" s="35">
        <v>347</v>
      </c>
      <c r="L36" s="36">
        <v>347</v>
      </c>
    </row>
    <row r="37" spans="2:13" ht="13.5" x14ac:dyDescent="0.25">
      <c r="B37" s="37" t="s">
        <v>61</v>
      </c>
      <c r="C37" s="40">
        <f>+Elena!C3</f>
        <v>921.61885245901635</v>
      </c>
      <c r="D37" s="41">
        <f>$C$5*D38*0.1975</f>
        <v>4407.0426500000003</v>
      </c>
      <c r="E37" s="42">
        <f>(C37-$H$3)*1.59%*E38</f>
        <v>4382.4751699672133</v>
      </c>
      <c r="F37" s="42">
        <f>C37*F38*1.75%</f>
        <v>5773.9421106557384</v>
      </c>
      <c r="G37" s="42">
        <f>C37*G38*1.75%</f>
        <v>5644.9154713114758</v>
      </c>
      <c r="H37" s="41">
        <f>+C37*H38*$H$6</f>
        <v>3225.6659836065573</v>
      </c>
      <c r="I37" s="42">
        <f>+C37*I38*$I$6</f>
        <v>10160.847848360656</v>
      </c>
      <c r="J37" s="41">
        <f>+C37*J38*$J$6</f>
        <v>806.41649590163934</v>
      </c>
      <c r="K37" s="42">
        <f>+C37*K38*$K$6</f>
        <v>6580.3586065573772</v>
      </c>
      <c r="L37" s="41">
        <f>+C37*L38*$L$6</f>
        <v>16450.896516393444</v>
      </c>
      <c r="M37" s="48">
        <f>SUM(D37:L37)</f>
        <v>57432.560852754104</v>
      </c>
    </row>
    <row r="38" spans="2:13" ht="13.5" thickBot="1" x14ac:dyDescent="0.3">
      <c r="B38" s="9" t="s">
        <v>51</v>
      </c>
      <c r="C38" s="18"/>
      <c r="D38" s="19">
        <v>358</v>
      </c>
      <c r="E38" s="35">
        <v>358</v>
      </c>
      <c r="F38" s="35">
        <v>358</v>
      </c>
      <c r="G38" s="35">
        <v>350</v>
      </c>
      <c r="H38" s="35">
        <v>350</v>
      </c>
      <c r="I38" s="35">
        <v>350</v>
      </c>
      <c r="J38" s="35">
        <v>350</v>
      </c>
      <c r="K38" s="35">
        <v>357</v>
      </c>
      <c r="L38" s="35">
        <v>357</v>
      </c>
      <c r="M38" s="36"/>
    </row>
    <row r="39" spans="2:13" ht="13.5" x14ac:dyDescent="0.25">
      <c r="B39" s="18" t="s">
        <v>62</v>
      </c>
      <c r="C39" s="38">
        <f>+Juan!C3</f>
        <v>1105.9426229508197</v>
      </c>
      <c r="D39" s="41">
        <f>$C$5*D40*0.1975</f>
        <v>4407.0426500000003</v>
      </c>
      <c r="E39" s="42">
        <f>(C39-$H$3)*1.59%*E40</f>
        <v>5431.6829363606557</v>
      </c>
      <c r="F39" s="42">
        <f>C39*F40*1.75%</f>
        <v>6928.7305327868862</v>
      </c>
      <c r="G39" s="42">
        <f>C39*G40*1.75%</f>
        <v>6773.8985655737706</v>
      </c>
      <c r="H39" s="41">
        <f>+C39*H40*$H$6</f>
        <v>3870.7991803278687</v>
      </c>
      <c r="I39" s="42">
        <f>+C39*I40*$I$6</f>
        <v>12193.017418032787</v>
      </c>
      <c r="J39" s="41">
        <f>+C39*J40*$J$6</f>
        <v>967.69979508196718</v>
      </c>
      <c r="K39" s="42">
        <f>+C39*K40*$K$6</f>
        <v>7896.4303278688531</v>
      </c>
      <c r="L39" s="41">
        <f>+C39*L40*$L$6</f>
        <v>19741.075819672133</v>
      </c>
      <c r="M39" s="48">
        <f>SUM(D39:L39)</f>
        <v>68210.377225704913</v>
      </c>
    </row>
    <row r="40" spans="2:13" ht="13.5" thickBot="1" x14ac:dyDescent="0.3">
      <c r="B40" s="21" t="s">
        <v>51</v>
      </c>
      <c r="C40" s="22"/>
      <c r="D40" s="28">
        <v>358</v>
      </c>
      <c r="E40" s="28">
        <v>358</v>
      </c>
      <c r="F40" s="28">
        <v>358</v>
      </c>
      <c r="G40" s="28">
        <v>350</v>
      </c>
      <c r="H40" s="28">
        <v>350</v>
      </c>
      <c r="I40" s="28">
        <v>350</v>
      </c>
      <c r="J40" s="28">
        <v>350</v>
      </c>
      <c r="K40" s="28">
        <v>357</v>
      </c>
      <c r="L40" s="29">
        <v>357</v>
      </c>
    </row>
    <row r="41" spans="2:13" ht="13.5" x14ac:dyDescent="0.25">
      <c r="B41" s="18" t="s">
        <v>118</v>
      </c>
      <c r="C41" s="38">
        <f>+Luis!C3</f>
        <v>1717.3497267759562</v>
      </c>
      <c r="D41" s="41">
        <f>$C$5*D42*0.1975</f>
        <v>4407.0426500000003</v>
      </c>
      <c r="E41" s="42">
        <f>(C41-$H$3)*1.59%*E42</f>
        <v>8911.9344527540979</v>
      </c>
      <c r="F41" s="42">
        <f>C41*F42*1.75%</f>
        <v>10759.196038251368</v>
      </c>
      <c r="G41" s="42">
        <f>C41*G42*1.75%</f>
        <v>10067.962773224044</v>
      </c>
      <c r="H41" s="41">
        <f>+C41*H42*$H$6</f>
        <v>5753.1215846994528</v>
      </c>
      <c r="I41" s="42">
        <f>+C41*I42*$I$6</f>
        <v>18122.332991803276</v>
      </c>
      <c r="J41" s="41">
        <f>+C41*J42*$J$6</f>
        <v>1438.2803961748632</v>
      </c>
      <c r="K41" s="42">
        <f>+C41*K42*$K$6</f>
        <v>11746.672131147541</v>
      </c>
      <c r="L41" s="41">
        <f>+C41*L42*$L$6</f>
        <v>29366.680327868853</v>
      </c>
      <c r="M41" s="48">
        <f>SUM(D41:L41)</f>
        <v>100573.2233459235</v>
      </c>
    </row>
    <row r="42" spans="2:13" ht="13.5" thickBot="1" x14ac:dyDescent="0.3">
      <c r="B42" s="21" t="s">
        <v>51</v>
      </c>
      <c r="C42" s="22"/>
      <c r="D42" s="28">
        <v>358</v>
      </c>
      <c r="E42" s="28">
        <v>358</v>
      </c>
      <c r="F42" s="28">
        <v>358</v>
      </c>
      <c r="G42" s="28">
        <v>335</v>
      </c>
      <c r="H42" s="28">
        <v>335</v>
      </c>
      <c r="I42" s="28">
        <v>335</v>
      </c>
      <c r="J42" s="28">
        <v>335</v>
      </c>
      <c r="K42" s="28">
        <v>342</v>
      </c>
      <c r="L42" s="29">
        <v>342</v>
      </c>
    </row>
    <row r="43" spans="2:13" ht="13.5" x14ac:dyDescent="0.25">
      <c r="B43" s="18" t="s">
        <v>119</v>
      </c>
      <c r="C43" s="38">
        <f>+Guadalupe!C3</f>
        <v>1991.5431693989071</v>
      </c>
      <c r="D43" s="41">
        <f>$C$5*D44*0.1975</f>
        <v>4173.1493250000003</v>
      </c>
      <c r="E43" s="42">
        <f>(C43-$H$3)*1.59%*E44</f>
        <v>9916.8847663770503</v>
      </c>
      <c r="F43" s="42">
        <f>C43*F44*1.75%</f>
        <v>11814.829852459017</v>
      </c>
      <c r="G43" s="42">
        <f>C43*G44*1.75%</f>
        <v>11675.421830601093</v>
      </c>
      <c r="H43" s="41">
        <f>+C43*H44*$H$6</f>
        <v>6671.6696174863391</v>
      </c>
      <c r="I43" s="42">
        <f>+C43*I44*$I$6</f>
        <v>21015.759295081967</v>
      </c>
      <c r="J43" s="41">
        <f>+C43*J44*$J$6</f>
        <v>1667.9174043715848</v>
      </c>
      <c r="K43" s="42">
        <f>+C43*K44*$K$6</f>
        <v>13980.633049180329</v>
      </c>
      <c r="L43" s="41">
        <f>+C43*L44*$L$6</f>
        <v>34951.582622950824</v>
      </c>
      <c r="M43" s="48">
        <f>SUM(D43:L43)</f>
        <v>115867.84776350821</v>
      </c>
    </row>
    <row r="44" spans="2:13" ht="13.5" thickBot="1" x14ac:dyDescent="0.3">
      <c r="B44" s="18" t="s">
        <v>51</v>
      </c>
      <c r="C44" s="19"/>
      <c r="D44" s="35">
        <v>339</v>
      </c>
      <c r="E44" s="35">
        <v>339</v>
      </c>
      <c r="F44" s="35">
        <v>339</v>
      </c>
      <c r="G44" s="35">
        <v>335</v>
      </c>
      <c r="H44" s="35">
        <v>335</v>
      </c>
      <c r="I44" s="35">
        <v>335</v>
      </c>
      <c r="J44" s="35">
        <v>335</v>
      </c>
      <c r="K44" s="35">
        <v>351</v>
      </c>
      <c r="L44" s="36">
        <v>351</v>
      </c>
    </row>
    <row r="45" spans="2:13" ht="13.5" x14ac:dyDescent="0.25">
      <c r="B45" s="18" t="s">
        <v>120</v>
      </c>
      <c r="C45" s="38">
        <f>+Natalia!C3</f>
        <v>2014.9999999999998</v>
      </c>
      <c r="D45" s="41">
        <f>$C$5*D46*0.1975</f>
        <v>4173.1493250000003</v>
      </c>
      <c r="E45" s="42">
        <f>(C45-$H$3)*1.59%*E46</f>
        <v>10043.319428999999</v>
      </c>
      <c r="F45" s="42">
        <f>C45*F46*1.75%</f>
        <v>11953.987499999999</v>
      </c>
      <c r="G45" s="42">
        <f>C45*G46*1.75%</f>
        <v>11812.937499999998</v>
      </c>
      <c r="H45" s="41">
        <f>+C45*H46*$H$6</f>
        <v>6750.2499999999991</v>
      </c>
      <c r="I45" s="42">
        <f>+C45*I46*$I$6</f>
        <v>21263.287499999995</v>
      </c>
      <c r="J45" s="41">
        <f>+C45*J46*$J$6</f>
        <v>1687.5624999999998</v>
      </c>
      <c r="K45" s="42">
        <f>+C45*K46*$K$6</f>
        <v>14145.299999999997</v>
      </c>
      <c r="L45" s="41">
        <f>+C45*L46*$L$6</f>
        <v>35363.249999999993</v>
      </c>
      <c r="M45" s="48">
        <f>SUM(D45:L45)</f>
        <v>117193.04375399998</v>
      </c>
    </row>
    <row r="46" spans="2:13" ht="13.5" thickBot="1" x14ac:dyDescent="0.3">
      <c r="B46" s="18" t="s">
        <v>51</v>
      </c>
      <c r="C46" s="19"/>
      <c r="D46" s="35">
        <v>339</v>
      </c>
      <c r="E46" s="35">
        <v>339</v>
      </c>
      <c r="F46" s="35">
        <v>339</v>
      </c>
      <c r="G46" s="35">
        <v>335</v>
      </c>
      <c r="H46" s="35">
        <v>335</v>
      </c>
      <c r="I46" s="35">
        <v>335</v>
      </c>
      <c r="J46" s="35">
        <v>335</v>
      </c>
      <c r="K46" s="35">
        <v>351</v>
      </c>
      <c r="L46" s="36">
        <v>351</v>
      </c>
    </row>
    <row r="47" spans="2:13" ht="13.5" x14ac:dyDescent="0.25">
      <c r="B47" s="18" t="s">
        <v>63</v>
      </c>
      <c r="C47" s="38">
        <f>+Ernesto!C3</f>
        <v>2014.9999999999998</v>
      </c>
      <c r="D47" s="41">
        <f>$C$5*D48*0.1975</f>
        <v>4173.1493250000003</v>
      </c>
      <c r="E47" s="42">
        <f>(C47-$H$3)*1.59%*E48</f>
        <v>10043.319428999999</v>
      </c>
      <c r="F47" s="42">
        <f>C47*F48*1.75%</f>
        <v>11953.987499999999</v>
      </c>
      <c r="G47" s="42">
        <f>C47*G48*1.75%</f>
        <v>11812.937499999998</v>
      </c>
      <c r="H47" s="41">
        <f>+C47*H48*$H$6</f>
        <v>6750.2499999999991</v>
      </c>
      <c r="I47" s="42">
        <f>+C47*I48*$I$6</f>
        <v>21263.287499999995</v>
      </c>
      <c r="J47" s="41">
        <f>+C47*J48*$J$6</f>
        <v>1687.5624999999998</v>
      </c>
      <c r="K47" s="42">
        <f>+C47*K48*$K$6</f>
        <v>14145.299999999997</v>
      </c>
      <c r="L47" s="41">
        <f>+C47*L48*$L$6</f>
        <v>35363.249999999993</v>
      </c>
      <c r="M47" s="48">
        <f>SUM(D47:L47)</f>
        <v>117193.04375399998</v>
      </c>
    </row>
    <row r="48" spans="2:13" ht="13.5" thickBot="1" x14ac:dyDescent="0.3">
      <c r="B48" s="21" t="s">
        <v>51</v>
      </c>
      <c r="C48" s="22"/>
      <c r="D48" s="28">
        <v>339</v>
      </c>
      <c r="E48" s="28">
        <v>339</v>
      </c>
      <c r="F48" s="28">
        <v>339</v>
      </c>
      <c r="G48" s="28">
        <v>335</v>
      </c>
      <c r="H48" s="28">
        <v>335</v>
      </c>
      <c r="I48" s="28">
        <v>335</v>
      </c>
      <c r="J48" s="28">
        <v>335</v>
      </c>
      <c r="K48" s="28">
        <v>351</v>
      </c>
      <c r="L48" s="29">
        <v>351</v>
      </c>
    </row>
    <row r="49" spans="2:13" ht="13.5" x14ac:dyDescent="0.25">
      <c r="B49" s="18" t="s">
        <v>64</v>
      </c>
      <c r="C49" s="39">
        <f>+[3]Joaquin!C3</f>
        <v>793.15068493150682</v>
      </c>
      <c r="D49" s="41">
        <f>$C$5*D50*0.1975</f>
        <v>4123.908625</v>
      </c>
      <c r="E49" s="42">
        <f>(C49-$H$3)*1.59%*E50</f>
        <v>3416.6338082876709</v>
      </c>
      <c r="F49" s="42">
        <f>C49*F50*1.75%</f>
        <v>4649.8458904109593</v>
      </c>
      <c r="G49" s="42">
        <f>C49*G50*1.75%</f>
        <v>4649.8458904109593</v>
      </c>
      <c r="H49" s="41">
        <f>+C49*H50*$H$6</f>
        <v>2657.0547945205476</v>
      </c>
      <c r="I49" s="42">
        <f>+C49*I50*$I$6</f>
        <v>8369.7226027397246</v>
      </c>
      <c r="J49" s="41">
        <f>+C49*J50*$J$6</f>
        <v>664.2636986301369</v>
      </c>
      <c r="K49" s="42">
        <f>+C49*K50*$K$6</f>
        <v>5314.1095890410952</v>
      </c>
      <c r="L49" s="41">
        <f>+C49*L50*$L$6</f>
        <v>13285.273972602739</v>
      </c>
      <c r="M49" s="48">
        <f>SUM(D49:L49)</f>
        <v>47130.658871643827</v>
      </c>
    </row>
    <row r="50" spans="2:13" ht="13.5" thickBot="1" x14ac:dyDescent="0.3">
      <c r="B50" s="24" t="s">
        <v>51</v>
      </c>
      <c r="C50" s="25"/>
      <c r="D50" s="26">
        <v>335</v>
      </c>
      <c r="E50" s="26">
        <v>335</v>
      </c>
      <c r="F50" s="26">
        <v>335</v>
      </c>
      <c r="G50" s="26">
        <v>335</v>
      </c>
      <c r="H50" s="26">
        <v>335</v>
      </c>
      <c r="I50" s="26">
        <v>335</v>
      </c>
      <c r="J50" s="26">
        <v>335</v>
      </c>
      <c r="K50" s="26">
        <v>335</v>
      </c>
      <c r="L50" s="14">
        <v>335</v>
      </c>
    </row>
    <row r="51" spans="2:13" ht="13.5" thickTop="1" x14ac:dyDescent="0.25">
      <c r="L51" s="9" t="s">
        <v>127</v>
      </c>
      <c r="M51" s="48">
        <f>SUM(M7:M50)</f>
        <v>995887.04586458043</v>
      </c>
    </row>
    <row r="52" spans="2:13" x14ac:dyDescent="0.25">
      <c r="B52" s="10" t="s">
        <v>78</v>
      </c>
      <c r="L52" s="9" t="s">
        <v>129</v>
      </c>
      <c r="M52" s="50">
        <v>0.17</v>
      </c>
    </row>
    <row r="53" spans="2:13" x14ac:dyDescent="0.25">
      <c r="B53" s="10" t="s">
        <v>79</v>
      </c>
      <c r="L53" s="9" t="s">
        <v>128</v>
      </c>
      <c r="M53" s="51">
        <f>+M51*M52</f>
        <v>169300.79779697867</v>
      </c>
    </row>
    <row r="54" spans="2:13" x14ac:dyDescent="0.25">
      <c r="B54" s="10" t="s">
        <v>80</v>
      </c>
    </row>
    <row r="55" spans="2:13" x14ac:dyDescent="0.25">
      <c r="B55" s="10" t="s">
        <v>81</v>
      </c>
    </row>
    <row r="56" spans="2:13" x14ac:dyDescent="0.25">
      <c r="B56" s="10" t="s">
        <v>121</v>
      </c>
    </row>
    <row r="57" spans="2:13" x14ac:dyDescent="0.25">
      <c r="B57" s="10" t="s">
        <v>122</v>
      </c>
    </row>
    <row r="58" spans="2:13" x14ac:dyDescent="0.25">
      <c r="B58" s="10" t="s">
        <v>83</v>
      </c>
    </row>
  </sheetData>
  <phoneticPr fontId="0" type="noConversion"/>
  <pageMargins left="0.35433070866141736" right="0.35433070866141736" top="0.59055118110236227" bottom="0.39370078740157483" header="0" footer="0"/>
  <pageSetup scale="95" orientation="landscape" horizontalDpi="180" verticalDpi="18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6:F39"/>
  <sheetViews>
    <sheetView workbookViewId="0">
      <selection activeCell="B19" sqref="B19"/>
    </sheetView>
  </sheetViews>
  <sheetFormatPr defaultColWidth="11.42578125" defaultRowHeight="15" x14ac:dyDescent="0.3"/>
  <cols>
    <col min="1" max="1" width="17.28515625" style="1" customWidth="1"/>
    <col min="2" max="2" width="23.5703125" style="1" bestFit="1" customWidth="1"/>
    <col min="3" max="3" width="5.140625" style="1" customWidth="1"/>
    <col min="4" max="4" width="14.28515625" style="1" bestFit="1" customWidth="1"/>
    <col min="5" max="5" width="4.5703125" style="1" customWidth="1"/>
    <col min="6" max="6" width="15" style="1" customWidth="1"/>
    <col min="7" max="16384" width="11.42578125" style="1"/>
  </cols>
  <sheetData>
    <row r="6" spans="2:6" ht="22.5" x14ac:dyDescent="0.45">
      <c r="B6" s="6" t="s">
        <v>41</v>
      </c>
    </row>
    <row r="9" spans="2:6" ht="16.5" x14ac:dyDescent="0.35">
      <c r="B9" s="4" t="s">
        <v>0</v>
      </c>
      <c r="C9" s="4"/>
      <c r="D9" s="4" t="s">
        <v>38</v>
      </c>
      <c r="E9" s="4"/>
      <c r="F9" s="4" t="s">
        <v>40</v>
      </c>
    </row>
    <row r="10" spans="2:6" ht="16.5" x14ac:dyDescent="0.35">
      <c r="B10" s="4"/>
      <c r="C10" s="4"/>
      <c r="D10" s="4" t="s">
        <v>39</v>
      </c>
      <c r="E10" s="4"/>
      <c r="F10" s="4" t="s">
        <v>7</v>
      </c>
    </row>
    <row r="11" spans="2:6" ht="16.5" x14ac:dyDescent="0.35">
      <c r="B11" s="4"/>
      <c r="C11" s="4"/>
      <c r="D11" s="4"/>
      <c r="E11" s="4"/>
      <c r="F11" s="4"/>
    </row>
    <row r="13" spans="2:6" ht="21" customHeight="1" x14ac:dyDescent="0.3">
      <c r="B13" s="1" t="str">
        <f>+Eleuterio!C1</f>
        <v>Eleuterio Jaso Hernandez</v>
      </c>
      <c r="D13" s="5">
        <f>+Eleuterio!D27</f>
        <v>164109.72430327866</v>
      </c>
      <c r="E13" s="5"/>
      <c r="F13" s="5">
        <f>+Eleuterio!G27</f>
        <v>35024</v>
      </c>
    </row>
    <row r="14" spans="2:6" ht="21" customHeight="1" x14ac:dyDescent="0.3">
      <c r="B14" s="1" t="str">
        <f>+Javier!B1</f>
        <v>Javier Morales García</v>
      </c>
      <c r="D14" s="5">
        <f>+Javier!C26</f>
        <v>111765.39</v>
      </c>
      <c r="E14" s="5"/>
      <c r="F14" s="5">
        <f>+Javier!F26</f>
        <v>50956.75</v>
      </c>
    </row>
    <row r="15" spans="2:6" ht="21" customHeight="1" x14ac:dyDescent="0.3">
      <c r="B15" s="1" t="str">
        <f>+Eusebio!C1</f>
        <v>Eusebio Jimenez García</v>
      </c>
      <c r="D15" s="5">
        <f>+Eusebio!D26</f>
        <v>120834.02879999999</v>
      </c>
      <c r="E15" s="5"/>
      <c r="F15" s="5">
        <f>+Eusebio!G26</f>
        <v>55776</v>
      </c>
    </row>
    <row r="16" spans="2:6" ht="21" customHeight="1" x14ac:dyDescent="0.3">
      <c r="B16" s="1" t="str">
        <f>+Jimena!C1</f>
        <v>Jimena Robles Zapien</v>
      </c>
      <c r="D16" s="5">
        <f>+Jimena!D26</f>
        <v>128572.7896</v>
      </c>
      <c r="E16" s="5"/>
      <c r="F16" s="5">
        <f>+Jimena!G26</f>
        <v>61027.75</v>
      </c>
    </row>
    <row r="17" spans="2:6" ht="21" customHeight="1" x14ac:dyDescent="0.3">
      <c r="B17" s="1" t="str">
        <f>+Eugenia!C1</f>
        <v>Eugenia Juarez Salas</v>
      </c>
      <c r="D17" s="5">
        <f>+Eugenia!D26</f>
        <v>165240.9</v>
      </c>
      <c r="E17" s="5"/>
      <c r="F17" s="5">
        <f>+Eugenia!G26</f>
        <v>86251.75</v>
      </c>
    </row>
    <row r="18" spans="2:6" ht="21" customHeight="1" x14ac:dyDescent="0.3">
      <c r="B18" s="1" t="str">
        <f>+Filomeno!C1</f>
        <v>Filomeno Robles Zapien</v>
      </c>
      <c r="D18" s="5">
        <f>+Filomeno!D27</f>
        <v>915214.72</v>
      </c>
      <c r="E18" s="5"/>
      <c r="F18" s="5">
        <f>+Filomeno!G27</f>
        <v>658913.24</v>
      </c>
    </row>
    <row r="19" spans="2:6" ht="21" customHeight="1" x14ac:dyDescent="0.3">
      <c r="B19" s="1" t="str">
        <f>+Jesus!C1</f>
        <v>Jesus Aguirre Zapata</v>
      </c>
      <c r="D19" s="5">
        <f>+Jesus!D27</f>
        <v>166776.06200000001</v>
      </c>
      <c r="E19" s="5"/>
      <c r="F19" s="5">
        <f>+Jesus!G27</f>
        <v>83172.750000000015</v>
      </c>
    </row>
    <row r="20" spans="2:6" ht="21" customHeight="1" x14ac:dyDescent="0.3">
      <c r="B20" s="1" t="str">
        <f>+Eleazar!C1</f>
        <v>Eleazar Osuna Hernández</v>
      </c>
      <c r="D20" s="5">
        <f>+Eleazar!D27</f>
        <v>143187.35999999999</v>
      </c>
      <c r="E20" s="5"/>
      <c r="F20" s="5">
        <f>+Eleazar!G27</f>
        <v>67948</v>
      </c>
    </row>
    <row r="21" spans="2:6" ht="21" customHeight="1" x14ac:dyDescent="0.3">
      <c r="B21" s="1" t="str">
        <f>+Elvira!C1</f>
        <v>Elvira Ramírez Salas</v>
      </c>
      <c r="D21" s="5">
        <f>+Elvira!D27</f>
        <v>172372.50455999997</v>
      </c>
      <c r="E21" s="5"/>
      <c r="F21" s="5">
        <f>+Elvira!G27</f>
        <v>94097.960999999996</v>
      </c>
    </row>
    <row r="22" spans="2:6" ht="21" customHeight="1" x14ac:dyDescent="0.3">
      <c r="B22" s="1" t="str">
        <f>+Juana!C1</f>
        <v>Juana Sanchez López</v>
      </c>
      <c r="D22" s="5">
        <f>+Juana!D27</f>
        <v>254891.47367999997</v>
      </c>
      <c r="E22" s="5"/>
      <c r="F22" s="5">
        <f>+Juana!G27</f>
        <v>154269.908</v>
      </c>
    </row>
    <row r="23" spans="2:6" ht="21" customHeight="1" x14ac:dyDescent="0.3">
      <c r="B23" s="1" t="str">
        <f>+Enrique!C1</f>
        <v>Enrique Olmos Hernández</v>
      </c>
      <c r="D23" s="5">
        <f>+Enrique!D27</f>
        <v>293439.81712000008</v>
      </c>
      <c r="E23" s="5"/>
      <c r="F23" s="5">
        <f>+Enrique!G27</f>
        <v>150529.8928</v>
      </c>
    </row>
    <row r="24" spans="2:6" ht="21" customHeight="1" x14ac:dyDescent="0.3">
      <c r="B24" s="1" t="str">
        <f>+Jorge!C1</f>
        <v>Jorge Aguilar Ayala</v>
      </c>
      <c r="D24" s="5">
        <f>+Jorge!D27</f>
        <v>399467.22546448081</v>
      </c>
      <c r="E24" s="5"/>
      <c r="F24" s="5">
        <f>+Jorge!G27</f>
        <v>243323</v>
      </c>
    </row>
    <row r="25" spans="2:6" ht="21" customHeight="1" x14ac:dyDescent="0.3">
      <c r="B25" s="1" t="str">
        <f>+Ana!C1</f>
        <v>Ana Gerardo Lira</v>
      </c>
      <c r="D25" s="5">
        <f>+Ana!D27</f>
        <v>447970.24327868846</v>
      </c>
      <c r="E25" s="5"/>
      <c r="F25" s="5">
        <f>+Ana!G27</f>
        <v>281656.5</v>
      </c>
    </row>
    <row r="26" spans="2:6" ht="21" customHeight="1" x14ac:dyDescent="0.3">
      <c r="B26" s="1" t="str">
        <f>+'[1]Ema '!C1</f>
        <v>Ema López García</v>
      </c>
      <c r="D26" s="5">
        <f>+'[1]Ema '!D26</f>
        <v>210867.59797979458</v>
      </c>
      <c r="E26" s="5"/>
      <c r="F26" s="5">
        <f>+'[1]Ema '!G26</f>
        <v>121044.0775</v>
      </c>
    </row>
    <row r="27" spans="2:6" ht="21" customHeight="1" x14ac:dyDescent="0.3">
      <c r="B27" s="1" t="str">
        <f>+'[2]Rosa '!C1</f>
        <v>Rosa Rojo Lara</v>
      </c>
      <c r="D27" s="5">
        <f>+'[2]Rosa '!D26</f>
        <v>212319.15950308222</v>
      </c>
      <c r="E27" s="5"/>
      <c r="F27" s="5">
        <f>+'[2]Rosa '!G26</f>
        <v>123977.44749999999</v>
      </c>
    </row>
    <row r="28" spans="2:6" ht="21" customHeight="1" x14ac:dyDescent="0.3">
      <c r="B28" s="1" t="str">
        <f>+Elena!C1</f>
        <v>Elena Tirado Gomez</v>
      </c>
      <c r="D28" s="5">
        <f>+Elena!D27</f>
        <v>631129.55081967218</v>
      </c>
      <c r="E28" s="5"/>
      <c r="F28" s="5">
        <f>+Elena!G27</f>
        <v>416714.875</v>
      </c>
    </row>
    <row r="29" spans="2:6" ht="21" customHeight="1" x14ac:dyDescent="0.3">
      <c r="B29" s="1" t="str">
        <f>+Juan!C1</f>
        <v>Juan Sanabria Gomez</v>
      </c>
      <c r="D29" s="5">
        <f>+Juan!D27</f>
        <v>710710.94098360662</v>
      </c>
      <c r="E29" s="5"/>
      <c r="F29" s="5">
        <f>+Juan!G27</f>
        <v>500373.85</v>
      </c>
    </row>
    <row r="30" spans="2:6" ht="21" customHeight="1" x14ac:dyDescent="0.3">
      <c r="B30" s="1" t="str">
        <f>+Luis!C1</f>
        <v>Luis Guevara Gómez</v>
      </c>
      <c r="D30" s="5">
        <f>+Luis!D27</f>
        <v>1083956.2928961748</v>
      </c>
      <c r="E30" s="5"/>
      <c r="F30" s="5">
        <f>+Luis!G27</f>
        <v>760163.85</v>
      </c>
    </row>
    <row r="31" spans="2:6" ht="21" customHeight="1" x14ac:dyDescent="0.3">
      <c r="B31" s="1" t="str">
        <f>Guadalupe!C1</f>
        <v>Guadalupe Ramos de Colores</v>
      </c>
      <c r="D31" s="5">
        <f>+Guadalupe!D27</f>
        <v>1153462.7296</v>
      </c>
      <c r="E31" s="5"/>
      <c r="F31" s="5">
        <f>+Guadalupe!G27</f>
        <v>874202.03999999992</v>
      </c>
    </row>
    <row r="32" spans="2:6" ht="21" customHeight="1" x14ac:dyDescent="0.3">
      <c r="B32" s="1" t="str">
        <f>+Natalia!C1</f>
        <v>Natalia González Hernández</v>
      </c>
      <c r="D32" s="5">
        <f>+Natalia!D27</f>
        <v>1260416.0699999998</v>
      </c>
      <c r="E32" s="5"/>
      <c r="F32" s="5">
        <f>+Natalia!G27</f>
        <v>983814.49</v>
      </c>
    </row>
    <row r="33" spans="2:6" ht="21" customHeight="1" x14ac:dyDescent="0.3">
      <c r="B33" s="1" t="str">
        <f>+Ernesto!C1</f>
        <v>Ernesto Ramos Hernandez</v>
      </c>
      <c r="D33" s="5">
        <f>+Ernesto!D27</f>
        <v>1212352.625</v>
      </c>
      <c r="E33" s="5"/>
      <c r="F33" s="5">
        <f>+Ernesto!G27</f>
        <v>892871.24</v>
      </c>
    </row>
    <row r="34" spans="2:6" ht="21" customHeight="1" x14ac:dyDescent="0.3">
      <c r="B34" s="1" t="str">
        <f>+Joaquin!C1</f>
        <v>Joaquin Millan Abdala</v>
      </c>
      <c r="D34" s="5">
        <f>+Joaquin!D27</f>
        <v>1203134.446</v>
      </c>
      <c r="E34" s="5"/>
      <c r="F34" s="5">
        <f>+Joaquin!G27</f>
        <v>922314.09000000008</v>
      </c>
    </row>
    <row r="36" spans="2:6" x14ac:dyDescent="0.3">
      <c r="B36" s="1" t="s">
        <v>98</v>
      </c>
      <c r="D36" s="5">
        <f>SUM(D13:D35)</f>
        <v>11162191.651588779</v>
      </c>
      <c r="F36" s="5">
        <f>SUM(F13:F35)</f>
        <v>7618423.4617999997</v>
      </c>
    </row>
    <row r="38" spans="2:6" x14ac:dyDescent="0.3">
      <c r="F38" s="49"/>
    </row>
    <row r="39" spans="2:6" x14ac:dyDescent="0.3">
      <c r="F39" s="30"/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69"/>
  <sheetViews>
    <sheetView topLeftCell="B1" workbookViewId="0">
      <selection activeCell="C1" sqref="C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2" style="1" bestFit="1" customWidth="1"/>
    <col min="4" max="4" width="15.140625" style="1" bestFit="1" customWidth="1"/>
    <col min="5" max="7" width="11.5703125" style="1" bestFit="1" customWidth="1"/>
    <col min="8" max="16384" width="11.42578125" style="1"/>
  </cols>
  <sheetData>
    <row r="1" spans="2:7" x14ac:dyDescent="0.3">
      <c r="B1" s="1" t="s">
        <v>0</v>
      </c>
      <c r="C1" s="1" t="s">
        <v>25</v>
      </c>
      <c r="D1" s="89">
        <f>+'Tab-2018'!B44</f>
        <v>0</v>
      </c>
    </row>
    <row r="2" spans="2:7" x14ac:dyDescent="0.3">
      <c r="B2" s="1" t="s">
        <v>1</v>
      </c>
      <c r="C2" s="2">
        <f>+'Tab-2018'!I4</f>
        <v>100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((C2*366+D9+D10+D11+D18+D19)/366)</f>
        <v>128.93005464480873</v>
      </c>
      <c r="D3" s="1" t="s">
        <v>85</v>
      </c>
    </row>
    <row r="4" spans="2:7" x14ac:dyDescent="0.3">
      <c r="B4" s="1" t="s">
        <v>2</v>
      </c>
    </row>
    <row r="6" spans="2:7" ht="16.5" x14ac:dyDescent="0.35"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8" spans="2:7" x14ac:dyDescent="0.3">
      <c r="C8" s="1" t="s">
        <v>8</v>
      </c>
      <c r="D8" s="2">
        <f>(C2*366)-(C4*C2)</f>
        <v>36600</v>
      </c>
      <c r="E8" s="2"/>
      <c r="F8" s="2"/>
      <c r="G8" s="2">
        <f>D8-E8-F8</f>
        <v>36600</v>
      </c>
    </row>
    <row r="9" spans="2:7" x14ac:dyDescent="0.3">
      <c r="C9" s="1" t="s">
        <v>9</v>
      </c>
      <c r="D9" s="2">
        <f>C2*30</f>
        <v>3000</v>
      </c>
      <c r="E9" s="2">
        <f>F2*30</f>
        <v>2418</v>
      </c>
      <c r="F9" s="2"/>
      <c r="G9" s="2">
        <f t="shared" ref="G9:G24" si="0">D9-E9-F9</f>
        <v>582</v>
      </c>
    </row>
    <row r="10" spans="2:7" x14ac:dyDescent="0.3">
      <c r="C10" s="1" t="s">
        <v>10</v>
      </c>
      <c r="D10" s="2">
        <f>C2*14*0.25</f>
        <v>350</v>
      </c>
      <c r="E10" s="2">
        <f>D10</f>
        <v>350</v>
      </c>
      <c r="F10" s="2"/>
      <c r="G10" s="2">
        <f>D10-E10-F10</f>
        <v>0</v>
      </c>
    </row>
    <row r="11" spans="2:7" x14ac:dyDescent="0.3">
      <c r="C11" s="1" t="s">
        <v>11</v>
      </c>
      <c r="D11" s="2">
        <f>139.2*52</f>
        <v>7238.4</v>
      </c>
      <c r="E11" s="2">
        <f>F2*50</f>
        <v>4029.9999999999995</v>
      </c>
      <c r="F11" s="2"/>
      <c r="G11" s="2">
        <f t="shared" si="0"/>
        <v>3208.4</v>
      </c>
    </row>
    <row r="12" spans="2:7" x14ac:dyDescent="0.3">
      <c r="C12" s="1" t="s">
        <v>12</v>
      </c>
      <c r="D12" s="2">
        <f>(C2/8)*270</f>
        <v>3375</v>
      </c>
      <c r="E12" s="2">
        <f>D12*50%</f>
        <v>1687.5</v>
      </c>
      <c r="F12" s="2"/>
      <c r="G12" s="2">
        <f t="shared" si="0"/>
        <v>1687.5</v>
      </c>
    </row>
    <row r="13" spans="2:7" x14ac:dyDescent="0.3">
      <c r="C13" s="1" t="s">
        <v>13</v>
      </c>
      <c r="D13" s="2">
        <v>2910</v>
      </c>
      <c r="E13" s="2">
        <f>F2*15</f>
        <v>1209</v>
      </c>
      <c r="F13" s="2"/>
      <c r="G13" s="2">
        <f t="shared" si="0"/>
        <v>1701</v>
      </c>
    </row>
    <row r="14" spans="2:7" x14ac:dyDescent="0.3">
      <c r="C14" s="1" t="s">
        <v>14</v>
      </c>
      <c r="D14" s="2">
        <f>SUM(D8:D11)*13%</f>
        <v>6134.4920000000002</v>
      </c>
      <c r="E14" s="2">
        <f>SUM(D8:D11)*13%</f>
        <v>6134.4920000000002</v>
      </c>
      <c r="F14" s="2"/>
      <c r="G14" s="2">
        <f t="shared" si="0"/>
        <v>0</v>
      </c>
    </row>
    <row r="15" spans="2:7" x14ac:dyDescent="0.3">
      <c r="C15" s="1" t="s">
        <v>101</v>
      </c>
      <c r="D15" s="2">
        <f>SUM(D8:D11)*5%</f>
        <v>2359.42</v>
      </c>
      <c r="E15" s="2"/>
      <c r="F15" s="2"/>
      <c r="G15" s="2">
        <f t="shared" si="0"/>
        <v>2359.42</v>
      </c>
    </row>
    <row r="16" spans="2:7" x14ac:dyDescent="0.3">
      <c r="C16" s="1" t="s">
        <v>15</v>
      </c>
      <c r="D16" s="2">
        <f>C2*60</f>
        <v>6000</v>
      </c>
      <c r="E16" s="2">
        <f>D16</f>
        <v>6000</v>
      </c>
      <c r="F16" s="2"/>
      <c r="G16" s="2">
        <f t="shared" si="0"/>
        <v>0</v>
      </c>
    </row>
    <row r="17" spans="3:7" x14ac:dyDescent="0.3">
      <c r="C17" s="1" t="s">
        <v>16</v>
      </c>
      <c r="D17" s="2">
        <f>F2*366*40%</f>
        <v>11799.84</v>
      </c>
      <c r="E17" s="2">
        <f>D17</f>
        <v>11799.84</v>
      </c>
      <c r="F17" s="2"/>
      <c r="G17" s="2">
        <f t="shared" si="0"/>
        <v>0</v>
      </c>
    </row>
    <row r="18" spans="3:7" x14ac:dyDescent="0.3">
      <c r="C18" s="1" t="s">
        <v>178</v>
      </c>
      <c r="D18" s="2">
        <f>+'Tab-2018'!U44</f>
        <v>0</v>
      </c>
      <c r="E18" s="2">
        <f>D18</f>
        <v>0</v>
      </c>
      <c r="F18" s="2"/>
      <c r="G18" s="2">
        <f t="shared" si="0"/>
        <v>0</v>
      </c>
    </row>
    <row r="19" spans="3:7" x14ac:dyDescent="0.3">
      <c r="C19" s="1" t="s">
        <v>179</v>
      </c>
      <c r="D19" s="2"/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18</v>
      </c>
      <c r="D20" s="2">
        <f>SUM(D8:D11)*5.2%</f>
        <v>2453.7968000000001</v>
      </c>
      <c r="E20" s="2">
        <f>D20</f>
        <v>2453.7968000000001</v>
      </c>
      <c r="F20" s="2"/>
      <c r="G20" s="2">
        <f t="shared" si="0"/>
        <v>0</v>
      </c>
    </row>
    <row r="21" spans="3:7" x14ac:dyDescent="0.3">
      <c r="C21" s="1" t="s">
        <v>19</v>
      </c>
      <c r="D21" s="2">
        <f>C2*60</f>
        <v>6000</v>
      </c>
      <c r="E21" s="2"/>
      <c r="F21" s="2">
        <f>D21</f>
        <v>6000</v>
      </c>
      <c r="G21" s="2">
        <f t="shared" si="0"/>
        <v>0</v>
      </c>
    </row>
    <row r="22" spans="3:7" x14ac:dyDescent="0.3">
      <c r="C22" s="1" t="s">
        <v>20</v>
      </c>
      <c r="D22" s="2">
        <f>+F2*259</f>
        <v>20875.399999999998</v>
      </c>
      <c r="E22" s="2"/>
      <c r="F22" s="2">
        <f>D22</f>
        <v>20875.399999999998</v>
      </c>
      <c r="G22" s="2">
        <f t="shared" si="0"/>
        <v>0</v>
      </c>
    </row>
    <row r="23" spans="3:7" x14ac:dyDescent="0.3">
      <c r="C23" s="1" t="s">
        <v>21</v>
      </c>
      <c r="D23" s="2">
        <v>2300</v>
      </c>
      <c r="E23" s="2">
        <v>1640</v>
      </c>
      <c r="F23" s="2">
        <f>+D23*0.2</f>
        <v>460</v>
      </c>
      <c r="G23" s="2">
        <f t="shared" si="0"/>
        <v>200</v>
      </c>
    </row>
    <row r="24" spans="3:7" x14ac:dyDescent="0.3">
      <c r="C24" s="1" t="s">
        <v>22</v>
      </c>
      <c r="D24" s="2">
        <f>SUM(D8:D11)*10%</f>
        <v>4718.84</v>
      </c>
      <c r="E24" s="2">
        <f>F2*30-E9</f>
        <v>0</v>
      </c>
      <c r="F24" s="2"/>
      <c r="G24" s="2">
        <f t="shared" si="0"/>
        <v>4718.84</v>
      </c>
    </row>
    <row r="25" spans="3:7" x14ac:dyDescent="0.3">
      <c r="C25" s="1" t="s">
        <v>130</v>
      </c>
      <c r="D25" s="2">
        <f>SUM(D8:D11)*10%</f>
        <v>4718.84</v>
      </c>
      <c r="E25" s="2"/>
      <c r="F25" s="2"/>
      <c r="G25" s="2">
        <f>D25-E25-F25</f>
        <v>4718.84</v>
      </c>
    </row>
    <row r="26" spans="3:7" x14ac:dyDescent="0.3">
      <c r="D26" s="2">
        <f>SUM(D8:D25)</f>
        <v>120834.02879999999</v>
      </c>
      <c r="E26" s="2">
        <f>SUM(E8:E25)</f>
        <v>37722.628799999991</v>
      </c>
      <c r="F26" s="2">
        <f>SUM(F8:F25)</f>
        <v>27335.399999999998</v>
      </c>
      <c r="G26" s="2">
        <f>SUM(G8:G25)</f>
        <v>55776</v>
      </c>
    </row>
    <row r="28" spans="3:7" x14ac:dyDescent="0.3">
      <c r="C28" s="1" t="s">
        <v>23</v>
      </c>
    </row>
    <row r="29" spans="3:7" x14ac:dyDescent="0.3">
      <c r="C29" s="1" t="s">
        <v>95</v>
      </c>
      <c r="E29" s="2">
        <f>F2*50</f>
        <v>4029.9999999999995</v>
      </c>
    </row>
    <row r="30" spans="3:7" x14ac:dyDescent="0.3">
      <c r="C30" s="1" t="s">
        <v>196</v>
      </c>
    </row>
    <row r="31" spans="3:7" x14ac:dyDescent="0.3">
      <c r="C31" s="1" t="s">
        <v>85</v>
      </c>
    </row>
    <row r="40" spans="2:7" x14ac:dyDescent="0.3">
      <c r="B40" s="1" t="s">
        <v>0</v>
      </c>
      <c r="C40" s="1" t="s">
        <v>25</v>
      </c>
      <c r="D40" s="89">
        <f>+'Tab-2018'!B83</f>
        <v>0</v>
      </c>
    </row>
    <row r="41" spans="2:7" x14ac:dyDescent="0.3">
      <c r="B41" s="1" t="s">
        <v>1</v>
      </c>
      <c r="C41" s="2">
        <f>+'Tab-2018'!I5</f>
        <v>110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((C41*366+D48+D49+D50+D57+D58)/366)</f>
        <v>139.84535519125683</v>
      </c>
      <c r="D42" s="1" t="s">
        <v>85</v>
      </c>
    </row>
    <row r="43" spans="2:7" x14ac:dyDescent="0.3">
      <c r="B43" s="1" t="s">
        <v>2</v>
      </c>
    </row>
    <row r="45" spans="2:7" ht="16.5" x14ac:dyDescent="0.35"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</row>
    <row r="47" spans="2:7" x14ac:dyDescent="0.3">
      <c r="C47" s="1" t="s">
        <v>8</v>
      </c>
      <c r="D47" s="2">
        <f>(C41*366)-(C43*C41)</f>
        <v>40260</v>
      </c>
      <c r="E47" s="2"/>
      <c r="F47" s="2"/>
      <c r="G47" s="2">
        <f>D47-E47-F47</f>
        <v>40260</v>
      </c>
    </row>
    <row r="48" spans="2:7" x14ac:dyDescent="0.3">
      <c r="C48" s="1" t="s">
        <v>9</v>
      </c>
      <c r="D48" s="2">
        <f>C41*30</f>
        <v>3300</v>
      </c>
      <c r="E48" s="2">
        <f>F41*30</f>
        <v>2191.2000000000003</v>
      </c>
      <c r="F48" s="2"/>
      <c r="G48" s="2">
        <f t="shared" ref="G48" si="1">D48-E48-F48</f>
        <v>1108.7999999999997</v>
      </c>
    </row>
    <row r="49" spans="3:7" x14ac:dyDescent="0.3">
      <c r="C49" s="1" t="s">
        <v>10</v>
      </c>
      <c r="D49" s="2">
        <f>C41*14*0.25</f>
        <v>385</v>
      </c>
      <c r="E49" s="2">
        <f>D49</f>
        <v>385</v>
      </c>
      <c r="F49" s="2"/>
      <c r="G49" s="2">
        <f>D49-E49-F49</f>
        <v>0</v>
      </c>
    </row>
    <row r="50" spans="3:7" x14ac:dyDescent="0.3">
      <c r="C50" s="1" t="s">
        <v>11</v>
      </c>
      <c r="D50" s="2">
        <f>139.2*52</f>
        <v>7238.4</v>
      </c>
      <c r="E50" s="2">
        <f>F41*50</f>
        <v>3652.0000000000005</v>
      </c>
      <c r="F50" s="2"/>
      <c r="G50" s="2">
        <f t="shared" ref="G50:G63" si="2">D50-E50-F50</f>
        <v>3586.3999999999992</v>
      </c>
    </row>
    <row r="51" spans="3:7" x14ac:dyDescent="0.3">
      <c r="C51" s="1" t="s">
        <v>12</v>
      </c>
      <c r="D51" s="2">
        <f>(C41/8)*270</f>
        <v>3712.5</v>
      </c>
      <c r="E51" s="2">
        <f>D51*50%</f>
        <v>1856.25</v>
      </c>
      <c r="F51" s="2"/>
      <c r="G51" s="2">
        <f t="shared" si="2"/>
        <v>1856.25</v>
      </c>
    </row>
    <row r="52" spans="3:7" x14ac:dyDescent="0.3">
      <c r="C52" s="1" t="s">
        <v>13</v>
      </c>
      <c r="D52" s="2">
        <v>2910</v>
      </c>
      <c r="E52" s="2">
        <f>F41*15</f>
        <v>1095.6000000000001</v>
      </c>
      <c r="F52" s="2"/>
      <c r="G52" s="2">
        <f t="shared" si="2"/>
        <v>1814.3999999999999</v>
      </c>
    </row>
    <row r="53" spans="3:7" x14ac:dyDescent="0.3">
      <c r="C53" s="1" t="s">
        <v>14</v>
      </c>
      <c r="D53" s="2">
        <f>SUM(D47:D50)*13%</f>
        <v>6653.8420000000006</v>
      </c>
      <c r="E53" s="2">
        <f>SUM(D47:D50)*13%</f>
        <v>6653.8420000000006</v>
      </c>
      <c r="F53" s="2"/>
      <c r="G53" s="2">
        <f t="shared" si="2"/>
        <v>0</v>
      </c>
    </row>
    <row r="54" spans="3:7" x14ac:dyDescent="0.3">
      <c r="C54" s="1" t="s">
        <v>101</v>
      </c>
      <c r="D54" s="2">
        <f>SUM(D47:D50)*5%</f>
        <v>2559.17</v>
      </c>
      <c r="E54" s="2"/>
      <c r="F54" s="2"/>
      <c r="G54" s="2">
        <f t="shared" si="2"/>
        <v>2559.17</v>
      </c>
    </row>
    <row r="55" spans="3:7" x14ac:dyDescent="0.3">
      <c r="C55" s="1" t="s">
        <v>15</v>
      </c>
      <c r="D55" s="2">
        <f>C41*60</f>
        <v>6600</v>
      </c>
      <c r="E55" s="2">
        <f>D55</f>
        <v>6600</v>
      </c>
      <c r="F55" s="2"/>
      <c r="G55" s="2">
        <f t="shared" si="2"/>
        <v>0</v>
      </c>
    </row>
    <row r="56" spans="3:7" x14ac:dyDescent="0.3">
      <c r="C56" s="1" t="s">
        <v>16</v>
      </c>
      <c r="D56" s="2">
        <f>F41*366*40%</f>
        <v>10693.056000000002</v>
      </c>
      <c r="E56" s="2">
        <f>D56</f>
        <v>10693.056000000002</v>
      </c>
      <c r="F56" s="2"/>
      <c r="G56" s="2">
        <f t="shared" si="2"/>
        <v>0</v>
      </c>
    </row>
    <row r="57" spans="3:7" x14ac:dyDescent="0.3">
      <c r="C57" s="1" t="s">
        <v>178</v>
      </c>
      <c r="D57" s="2">
        <f>+'Tab-2018'!U83</f>
        <v>0</v>
      </c>
      <c r="E57" s="2">
        <f>D57</f>
        <v>0</v>
      </c>
      <c r="F57" s="2"/>
      <c r="G57" s="2">
        <f t="shared" si="2"/>
        <v>0</v>
      </c>
    </row>
    <row r="58" spans="3:7" x14ac:dyDescent="0.3">
      <c r="C58" s="1" t="s">
        <v>179</v>
      </c>
      <c r="D58" s="2"/>
      <c r="E58" s="2">
        <f>D58</f>
        <v>0</v>
      </c>
      <c r="F58" s="2"/>
      <c r="G58" s="2">
        <f t="shared" si="2"/>
        <v>0</v>
      </c>
    </row>
    <row r="59" spans="3:7" x14ac:dyDescent="0.3">
      <c r="C59" s="1" t="s">
        <v>18</v>
      </c>
      <c r="D59" s="2">
        <f>SUM(D47:D50)*5.2%</f>
        <v>2661.5368000000003</v>
      </c>
      <c r="E59" s="2">
        <f>D59</f>
        <v>2661.5368000000003</v>
      </c>
      <c r="F59" s="2"/>
      <c r="G59" s="2">
        <f t="shared" si="2"/>
        <v>0</v>
      </c>
    </row>
    <row r="60" spans="3:7" x14ac:dyDescent="0.3">
      <c r="C60" s="1" t="s">
        <v>19</v>
      </c>
      <c r="D60" s="2">
        <f>C41*60</f>
        <v>6600</v>
      </c>
      <c r="E60" s="2"/>
      <c r="F60" s="2">
        <f>D60</f>
        <v>6600</v>
      </c>
      <c r="G60" s="2">
        <f t="shared" si="2"/>
        <v>0</v>
      </c>
    </row>
    <row r="61" spans="3:7" x14ac:dyDescent="0.3">
      <c r="C61" s="1" t="s">
        <v>20</v>
      </c>
      <c r="D61" s="2">
        <f>+F41*259</f>
        <v>18917.36</v>
      </c>
      <c r="E61" s="2"/>
      <c r="F61" s="2">
        <f>D61</f>
        <v>18917.36</v>
      </c>
      <c r="G61" s="2">
        <f t="shared" si="2"/>
        <v>0</v>
      </c>
    </row>
    <row r="62" spans="3:7" x14ac:dyDescent="0.3">
      <c r="C62" s="1" t="s">
        <v>21</v>
      </c>
      <c r="D62" s="2">
        <v>2300</v>
      </c>
      <c r="E62" s="2">
        <v>1640</v>
      </c>
      <c r="F62" s="2">
        <f>+D62*0.2</f>
        <v>460</v>
      </c>
      <c r="G62" s="2">
        <f t="shared" si="2"/>
        <v>200</v>
      </c>
    </row>
    <row r="63" spans="3:7" x14ac:dyDescent="0.3">
      <c r="C63" s="1" t="s">
        <v>22</v>
      </c>
      <c r="D63" s="2">
        <f>SUM(D47:D50)*10%</f>
        <v>5118.34</v>
      </c>
      <c r="E63" s="2">
        <f>F41*30-E48</f>
        <v>0</v>
      </c>
      <c r="F63" s="2"/>
      <c r="G63" s="2">
        <f t="shared" si="2"/>
        <v>5118.34</v>
      </c>
    </row>
    <row r="64" spans="3:7" x14ac:dyDescent="0.3">
      <c r="C64" s="1" t="s">
        <v>130</v>
      </c>
      <c r="D64" s="2">
        <f>SUM(D47:D50)*10%</f>
        <v>5118.34</v>
      </c>
      <c r="E64" s="2"/>
      <c r="F64" s="2"/>
      <c r="G64" s="2">
        <f>D64-E64-F64</f>
        <v>5118.34</v>
      </c>
    </row>
    <row r="65" spans="3:7" x14ac:dyDescent="0.3">
      <c r="D65" s="2">
        <f>SUM(D47:D64)</f>
        <v>125027.54479999999</v>
      </c>
      <c r="E65" s="2">
        <f>SUM(E47:E64)</f>
        <v>37428.484800000006</v>
      </c>
      <c r="F65" s="2">
        <f>SUM(F47:F64)</f>
        <v>25977.360000000001</v>
      </c>
      <c r="G65" s="2">
        <f>SUM(G47:G64)</f>
        <v>61621.7</v>
      </c>
    </row>
    <row r="67" spans="3:7" x14ac:dyDescent="0.3">
      <c r="C67" s="1" t="s">
        <v>23</v>
      </c>
    </row>
    <row r="68" spans="3:7" x14ac:dyDescent="0.3">
      <c r="C68" s="1" t="s">
        <v>95</v>
      </c>
      <c r="E68" s="2">
        <f>F41*50</f>
        <v>3652.0000000000005</v>
      </c>
    </row>
    <row r="69" spans="3:7" x14ac:dyDescent="0.3">
      <c r="C69" s="1" t="s">
        <v>196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G69"/>
  <sheetViews>
    <sheetView topLeftCell="B48" workbookViewId="0">
      <selection activeCell="C70" sqref="C70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1" style="1" bestFit="1" customWidth="1"/>
    <col min="4" max="4" width="15.140625" style="1" bestFit="1" customWidth="1"/>
    <col min="5" max="7" width="11.5703125" style="1" bestFit="1" customWidth="1"/>
    <col min="8" max="16384" width="11.42578125" style="1"/>
  </cols>
  <sheetData>
    <row r="1" spans="2:7" x14ac:dyDescent="0.3">
      <c r="B1" s="1" t="s">
        <v>0</v>
      </c>
      <c r="C1" s="1" t="s">
        <v>111</v>
      </c>
      <c r="D1" s="89">
        <f>+'Tab-2018'!B45</f>
        <v>0</v>
      </c>
    </row>
    <row r="2" spans="2:7" x14ac:dyDescent="0.3">
      <c r="B2" s="1" t="s">
        <v>1</v>
      </c>
      <c r="C2" s="2">
        <f>+'Tab-2018'!I6</f>
        <v>114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((C2*366+D9+D10+D11+D18+D19)/366)</f>
        <v>142.54863387978142</v>
      </c>
      <c r="D3" s="1" t="s">
        <v>85</v>
      </c>
    </row>
    <row r="4" spans="2:7" x14ac:dyDescent="0.3">
      <c r="B4" s="1" t="s">
        <v>2</v>
      </c>
    </row>
    <row r="6" spans="2:7" ht="16.5" x14ac:dyDescent="0.35"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8" spans="2:7" x14ac:dyDescent="0.3">
      <c r="C8" s="1" t="s">
        <v>8</v>
      </c>
      <c r="D8" s="2">
        <f>(C2*366)-(C4*C2)</f>
        <v>41724</v>
      </c>
      <c r="E8" s="2"/>
      <c r="F8" s="2"/>
      <c r="G8" s="2">
        <f>D8-E8-F8</f>
        <v>41724</v>
      </c>
    </row>
    <row r="9" spans="2:7" x14ac:dyDescent="0.3">
      <c r="C9" s="1" t="s">
        <v>9</v>
      </c>
      <c r="D9" s="2">
        <f>C2*30</f>
        <v>3420</v>
      </c>
      <c r="E9" s="2">
        <f>F2*30</f>
        <v>2418</v>
      </c>
      <c r="F9" s="2"/>
      <c r="G9" s="2">
        <f t="shared" ref="G9:G24" si="0">D9-E9-F9</f>
        <v>1002</v>
      </c>
    </row>
    <row r="10" spans="2:7" x14ac:dyDescent="0.3">
      <c r="C10" s="1" t="s">
        <v>10</v>
      </c>
      <c r="D10" s="2">
        <f>C2*16*0.25</f>
        <v>456</v>
      </c>
      <c r="E10" s="2">
        <f>D10</f>
        <v>456</v>
      </c>
      <c r="F10" s="2"/>
      <c r="G10" s="2">
        <f>D10-E10-F10</f>
        <v>0</v>
      </c>
    </row>
    <row r="11" spans="2:7" x14ac:dyDescent="0.3">
      <c r="C11" s="1" t="s">
        <v>11</v>
      </c>
      <c r="D11" s="2">
        <f>126.4*52</f>
        <v>6572.8</v>
      </c>
      <c r="E11" s="2">
        <f>F2*50</f>
        <v>4029.9999999999995</v>
      </c>
      <c r="F11" s="2"/>
      <c r="G11" s="2">
        <f t="shared" si="0"/>
        <v>2542.8000000000006</v>
      </c>
    </row>
    <row r="12" spans="2:7" x14ac:dyDescent="0.3">
      <c r="C12" s="1" t="s">
        <v>12</v>
      </c>
      <c r="D12" s="2">
        <f>(C2/8)*270</f>
        <v>3847.5</v>
      </c>
      <c r="E12" s="2">
        <f>D12*50%</f>
        <v>1923.75</v>
      </c>
      <c r="F12" s="2"/>
      <c r="G12" s="2">
        <f t="shared" si="0"/>
        <v>1923.75</v>
      </c>
    </row>
    <row r="13" spans="2:7" x14ac:dyDescent="0.3">
      <c r="C13" s="1" t="s">
        <v>13</v>
      </c>
      <c r="D13" s="2">
        <v>1945</v>
      </c>
      <c r="E13" s="2">
        <f>F2*15</f>
        <v>1209</v>
      </c>
      <c r="F13" s="2"/>
      <c r="G13" s="2">
        <f t="shared" si="0"/>
        <v>736</v>
      </c>
    </row>
    <row r="14" spans="2:7" x14ac:dyDescent="0.3">
      <c r="C14" s="1" t="s">
        <v>14</v>
      </c>
      <c r="D14" s="2">
        <f>SUM(D8:D11)*13%</f>
        <v>6782.4640000000009</v>
      </c>
      <c r="E14" s="2">
        <f>SUM(D8:D11)*13%</f>
        <v>6782.4640000000009</v>
      </c>
      <c r="F14" s="2"/>
      <c r="G14" s="2">
        <f t="shared" si="0"/>
        <v>0</v>
      </c>
    </row>
    <row r="15" spans="2:7" x14ac:dyDescent="0.3">
      <c r="C15" s="1" t="s">
        <v>101</v>
      </c>
      <c r="D15" s="2">
        <f>SUM(D8:D11)*5%</f>
        <v>2608.6400000000003</v>
      </c>
      <c r="E15" s="2"/>
      <c r="F15" s="2"/>
      <c r="G15" s="2">
        <f t="shared" si="0"/>
        <v>2608.6400000000003</v>
      </c>
    </row>
    <row r="16" spans="2:7" x14ac:dyDescent="0.3">
      <c r="C16" s="1" t="s">
        <v>15</v>
      </c>
      <c r="D16" s="2">
        <f>C2*60</f>
        <v>6840</v>
      </c>
      <c r="E16" s="2">
        <f>D16</f>
        <v>6840</v>
      </c>
      <c r="F16" s="2"/>
      <c r="G16" s="2">
        <f t="shared" si="0"/>
        <v>0</v>
      </c>
    </row>
    <row r="17" spans="3:7" x14ac:dyDescent="0.3">
      <c r="C17" s="1" t="s">
        <v>16</v>
      </c>
      <c r="D17" s="2">
        <f>F2*366*40%</f>
        <v>11799.84</v>
      </c>
      <c r="E17" s="2">
        <f>D17</f>
        <v>11799.84</v>
      </c>
      <c r="F17" s="2"/>
      <c r="G17" s="2">
        <f t="shared" si="0"/>
        <v>0</v>
      </c>
    </row>
    <row r="18" spans="3:7" x14ac:dyDescent="0.3">
      <c r="C18" s="1" t="s">
        <v>178</v>
      </c>
      <c r="D18" s="2">
        <f>+'Tab-2018'!U45</f>
        <v>0</v>
      </c>
      <c r="E18" s="2">
        <f>D18</f>
        <v>0</v>
      </c>
      <c r="F18" s="2"/>
      <c r="G18" s="2">
        <f t="shared" si="0"/>
        <v>0</v>
      </c>
    </row>
    <row r="19" spans="3:7" x14ac:dyDescent="0.3">
      <c r="C19" s="1" t="s">
        <v>179</v>
      </c>
      <c r="D19" s="2"/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18</v>
      </c>
      <c r="D20" s="2">
        <f>SUM(D8:D11)*5.2%</f>
        <v>2712.9856000000004</v>
      </c>
      <c r="E20" s="2">
        <f>D20</f>
        <v>2712.9856000000004</v>
      </c>
      <c r="F20" s="2"/>
      <c r="G20" s="2">
        <f t="shared" si="0"/>
        <v>0</v>
      </c>
    </row>
    <row r="21" spans="3:7" x14ac:dyDescent="0.3">
      <c r="C21" s="1" t="s">
        <v>19</v>
      </c>
      <c r="D21" s="2">
        <f>C2*60</f>
        <v>6840</v>
      </c>
      <c r="E21" s="2"/>
      <c r="F21" s="2">
        <f>D21</f>
        <v>6840</v>
      </c>
      <c r="G21" s="2">
        <f t="shared" si="0"/>
        <v>0</v>
      </c>
    </row>
    <row r="22" spans="3:7" x14ac:dyDescent="0.3">
      <c r="C22" s="1" t="s">
        <v>20</v>
      </c>
      <c r="D22" s="2">
        <f>+F2*240</f>
        <v>19344</v>
      </c>
      <c r="E22" s="2"/>
      <c r="F22" s="2">
        <f>D22</f>
        <v>19344</v>
      </c>
      <c r="G22" s="2">
        <f t="shared" si="0"/>
        <v>0</v>
      </c>
    </row>
    <row r="23" spans="3:7" x14ac:dyDescent="0.3">
      <c r="C23" s="1" t="s">
        <v>21</v>
      </c>
      <c r="D23" s="2">
        <v>3245</v>
      </c>
      <c r="E23" s="2">
        <v>2540</v>
      </c>
      <c r="F23" s="2">
        <f>+D23*0.2</f>
        <v>649</v>
      </c>
      <c r="G23" s="2">
        <f t="shared" si="0"/>
        <v>56</v>
      </c>
    </row>
    <row r="24" spans="3:7" x14ac:dyDescent="0.3">
      <c r="C24" s="1" t="s">
        <v>22</v>
      </c>
      <c r="D24" s="2">
        <f>SUM(D8:D11)*10%</f>
        <v>5217.2800000000007</v>
      </c>
      <c r="E24" s="2">
        <f>F2*30-E9</f>
        <v>0</v>
      </c>
      <c r="F24" s="2"/>
      <c r="G24" s="2">
        <f t="shared" si="0"/>
        <v>5217.2800000000007</v>
      </c>
    </row>
    <row r="25" spans="3:7" x14ac:dyDescent="0.3">
      <c r="C25" s="1" t="s">
        <v>130</v>
      </c>
      <c r="D25" s="2">
        <f>SUM(D8:D11)*10%</f>
        <v>5217.2800000000007</v>
      </c>
      <c r="E25" s="2"/>
      <c r="F25" s="2"/>
      <c r="G25" s="2">
        <f>D25-E25-F25</f>
        <v>5217.2800000000007</v>
      </c>
    </row>
    <row r="26" spans="3:7" x14ac:dyDescent="0.3">
      <c r="D26" s="2">
        <f>SUM(D8:D25)</f>
        <v>128572.7896</v>
      </c>
      <c r="E26" s="2">
        <f>SUM(E8:E25)</f>
        <v>40712.039600000004</v>
      </c>
      <c r="F26" s="2">
        <f>SUM(F8:F25)</f>
        <v>26833</v>
      </c>
      <c r="G26" s="2">
        <f>SUM(G8:G25)</f>
        <v>61027.75</v>
      </c>
    </row>
    <row r="28" spans="3:7" x14ac:dyDescent="0.3">
      <c r="C28" s="1" t="s">
        <v>23</v>
      </c>
    </row>
    <row r="29" spans="3:7" x14ac:dyDescent="0.3">
      <c r="C29" s="1" t="s">
        <v>95</v>
      </c>
      <c r="E29" s="2">
        <f>F2*50</f>
        <v>4029.9999999999995</v>
      </c>
    </row>
    <row r="30" spans="3:7" x14ac:dyDescent="0.3">
      <c r="C30" s="1" t="s">
        <v>196</v>
      </c>
    </row>
    <row r="40" spans="2:7" x14ac:dyDescent="0.3">
      <c r="B40" s="1" t="s">
        <v>0</v>
      </c>
      <c r="C40" s="1" t="s">
        <v>111</v>
      </c>
      <c r="D40" s="89">
        <f>+'Tab-2018'!B84</f>
        <v>0</v>
      </c>
    </row>
    <row r="41" spans="2:7" x14ac:dyDescent="0.3">
      <c r="B41" s="1" t="s">
        <v>1</v>
      </c>
      <c r="C41" s="2">
        <f>+'Tab-2018'!I7</f>
        <v>125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((C41*366+D48+D49+D50+D57+D58)/366)</f>
        <v>154.57049180327868</v>
      </c>
      <c r="D42" s="1" t="s">
        <v>85</v>
      </c>
    </row>
    <row r="43" spans="2:7" x14ac:dyDescent="0.3">
      <c r="B43" s="1" t="s">
        <v>2</v>
      </c>
    </row>
    <row r="45" spans="2:7" ht="16.5" x14ac:dyDescent="0.35"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</row>
    <row r="47" spans="2:7" x14ac:dyDescent="0.3">
      <c r="C47" s="1" t="s">
        <v>8</v>
      </c>
      <c r="D47" s="2">
        <f>(C41*366)-(C43*C41)</f>
        <v>45750</v>
      </c>
      <c r="E47" s="2"/>
      <c r="F47" s="2"/>
      <c r="G47" s="2">
        <f>D47-E47-F47</f>
        <v>45750</v>
      </c>
    </row>
    <row r="48" spans="2:7" x14ac:dyDescent="0.3">
      <c r="C48" s="1" t="s">
        <v>9</v>
      </c>
      <c r="D48" s="2">
        <f>C41*30</f>
        <v>3750</v>
      </c>
      <c r="E48" s="2">
        <f>F41*30</f>
        <v>2191.2000000000003</v>
      </c>
      <c r="F48" s="2"/>
      <c r="G48" s="2">
        <f t="shared" ref="G48" si="1">D48-E48-F48</f>
        <v>1558.7999999999997</v>
      </c>
    </row>
    <row r="49" spans="3:7" x14ac:dyDescent="0.3">
      <c r="C49" s="1" t="s">
        <v>10</v>
      </c>
      <c r="D49" s="2">
        <f>C41*16*0.25</f>
        <v>500</v>
      </c>
      <c r="E49" s="2">
        <f>D49</f>
        <v>500</v>
      </c>
      <c r="F49" s="2"/>
      <c r="G49" s="2">
        <f>D49-E49-F49</f>
        <v>0</v>
      </c>
    </row>
    <row r="50" spans="3:7" x14ac:dyDescent="0.3">
      <c r="C50" s="1" t="s">
        <v>11</v>
      </c>
      <c r="D50" s="2">
        <f>126.4*52</f>
        <v>6572.8</v>
      </c>
      <c r="E50" s="2">
        <f>F41*50</f>
        <v>3652.0000000000005</v>
      </c>
      <c r="F50" s="2"/>
      <c r="G50" s="2">
        <f t="shared" ref="G50:G63" si="2">D50-E50-F50</f>
        <v>2920.7999999999997</v>
      </c>
    </row>
    <row r="51" spans="3:7" x14ac:dyDescent="0.3">
      <c r="C51" s="1" t="s">
        <v>12</v>
      </c>
      <c r="D51" s="2">
        <f>(C41/8)*270</f>
        <v>4218.75</v>
      </c>
      <c r="E51" s="2">
        <f>D51*50%</f>
        <v>2109.375</v>
      </c>
      <c r="F51" s="2"/>
      <c r="G51" s="2">
        <f t="shared" si="2"/>
        <v>2109.375</v>
      </c>
    </row>
    <row r="52" spans="3:7" x14ac:dyDescent="0.3">
      <c r="C52" s="1" t="s">
        <v>13</v>
      </c>
      <c r="D52" s="2">
        <v>1945</v>
      </c>
      <c r="E52" s="2">
        <f>F41*15</f>
        <v>1095.6000000000001</v>
      </c>
      <c r="F52" s="2"/>
      <c r="G52" s="2">
        <f t="shared" si="2"/>
        <v>849.39999999999986</v>
      </c>
    </row>
    <row r="53" spans="3:7" x14ac:dyDescent="0.3">
      <c r="C53" s="1" t="s">
        <v>14</v>
      </c>
      <c r="D53" s="2">
        <f>SUM(D47:D50)*13%</f>
        <v>7354.4640000000009</v>
      </c>
      <c r="E53" s="2">
        <f>SUM(D47:D50)*13%</f>
        <v>7354.4640000000009</v>
      </c>
      <c r="F53" s="2"/>
      <c r="G53" s="2">
        <f t="shared" si="2"/>
        <v>0</v>
      </c>
    </row>
    <row r="54" spans="3:7" x14ac:dyDescent="0.3">
      <c r="C54" s="1" t="s">
        <v>101</v>
      </c>
      <c r="D54" s="2">
        <f>SUM(D47:D50)*5%</f>
        <v>2828.6400000000003</v>
      </c>
      <c r="E54" s="2"/>
      <c r="F54" s="2"/>
      <c r="G54" s="2">
        <f t="shared" si="2"/>
        <v>2828.6400000000003</v>
      </c>
    </row>
    <row r="55" spans="3:7" x14ac:dyDescent="0.3">
      <c r="C55" s="1" t="s">
        <v>15</v>
      </c>
      <c r="D55" s="2">
        <f>C41*60</f>
        <v>7500</v>
      </c>
      <c r="E55" s="2">
        <f>D55</f>
        <v>7500</v>
      </c>
      <c r="F55" s="2"/>
      <c r="G55" s="2">
        <f t="shared" si="2"/>
        <v>0</v>
      </c>
    </row>
    <row r="56" spans="3:7" x14ac:dyDescent="0.3">
      <c r="C56" s="1" t="s">
        <v>16</v>
      </c>
      <c r="D56" s="2">
        <f>F41*366*40%</f>
        <v>10693.056000000002</v>
      </c>
      <c r="E56" s="2">
        <f>D56</f>
        <v>10693.056000000002</v>
      </c>
      <c r="F56" s="2"/>
      <c r="G56" s="2">
        <f t="shared" si="2"/>
        <v>0</v>
      </c>
    </row>
    <row r="57" spans="3:7" x14ac:dyDescent="0.3">
      <c r="C57" s="1" t="s">
        <v>178</v>
      </c>
      <c r="D57" s="2">
        <f>+'Tab-2018'!U84</f>
        <v>0</v>
      </c>
      <c r="E57" s="2">
        <f>D57</f>
        <v>0</v>
      </c>
      <c r="F57" s="2"/>
      <c r="G57" s="2">
        <f t="shared" si="2"/>
        <v>0</v>
      </c>
    </row>
    <row r="58" spans="3:7" x14ac:dyDescent="0.3">
      <c r="C58" s="1" t="s">
        <v>179</v>
      </c>
      <c r="D58" s="2"/>
      <c r="E58" s="2">
        <f>D58</f>
        <v>0</v>
      </c>
      <c r="F58" s="2"/>
      <c r="G58" s="2">
        <f t="shared" si="2"/>
        <v>0</v>
      </c>
    </row>
    <row r="59" spans="3:7" x14ac:dyDescent="0.3">
      <c r="C59" s="1" t="s">
        <v>18</v>
      </c>
      <c r="D59" s="2">
        <f>SUM(D47:D50)*5.2%</f>
        <v>2941.7856000000006</v>
      </c>
      <c r="E59" s="2">
        <f>D59</f>
        <v>2941.7856000000006</v>
      </c>
      <c r="F59" s="2"/>
      <c r="G59" s="2">
        <f t="shared" si="2"/>
        <v>0</v>
      </c>
    </row>
    <row r="60" spans="3:7" x14ac:dyDescent="0.3">
      <c r="C60" s="1" t="s">
        <v>19</v>
      </c>
      <c r="D60" s="2">
        <f>C41*60</f>
        <v>7500</v>
      </c>
      <c r="E60" s="2"/>
      <c r="F60" s="2">
        <f>D60</f>
        <v>7500</v>
      </c>
      <c r="G60" s="2">
        <f t="shared" si="2"/>
        <v>0</v>
      </c>
    </row>
    <row r="61" spans="3:7" x14ac:dyDescent="0.3">
      <c r="C61" s="1" t="s">
        <v>20</v>
      </c>
      <c r="D61" s="2">
        <f>+F41*240</f>
        <v>17529.600000000002</v>
      </c>
      <c r="E61" s="2"/>
      <c r="F61" s="2">
        <f>D61</f>
        <v>17529.600000000002</v>
      </c>
      <c r="G61" s="2">
        <f t="shared" si="2"/>
        <v>0</v>
      </c>
    </row>
    <row r="62" spans="3:7" x14ac:dyDescent="0.3">
      <c r="C62" s="1" t="s">
        <v>21</v>
      </c>
      <c r="D62" s="2">
        <v>3245</v>
      </c>
      <c r="E62" s="2">
        <v>2540</v>
      </c>
      <c r="F62" s="2">
        <f>+D62*0.2</f>
        <v>649</v>
      </c>
      <c r="G62" s="2">
        <f t="shared" si="2"/>
        <v>56</v>
      </c>
    </row>
    <row r="63" spans="3:7" x14ac:dyDescent="0.3">
      <c r="C63" s="1" t="s">
        <v>22</v>
      </c>
      <c r="D63" s="2">
        <f>SUM(D47:D50)*10%</f>
        <v>5657.2800000000007</v>
      </c>
      <c r="E63" s="2">
        <f>F41*30-E48</f>
        <v>0</v>
      </c>
      <c r="F63" s="2"/>
      <c r="G63" s="2">
        <f t="shared" si="2"/>
        <v>5657.2800000000007</v>
      </c>
    </row>
    <row r="64" spans="3:7" x14ac:dyDescent="0.3">
      <c r="C64" s="1" t="s">
        <v>130</v>
      </c>
      <c r="D64" s="2">
        <f>SUM(D47:D50)*10%</f>
        <v>5657.2800000000007</v>
      </c>
      <c r="E64" s="2"/>
      <c r="F64" s="2"/>
      <c r="G64" s="2">
        <f>D64-E64-F64</f>
        <v>5657.2800000000007</v>
      </c>
    </row>
    <row r="65" spans="3:7" x14ac:dyDescent="0.3">
      <c r="D65" s="2">
        <f>SUM(D47:D64)</f>
        <v>133643.65560000003</v>
      </c>
      <c r="E65" s="2">
        <f>SUM(E47:E64)</f>
        <v>40577.48060000001</v>
      </c>
      <c r="F65" s="2">
        <f>SUM(F47:F64)</f>
        <v>25678.600000000002</v>
      </c>
      <c r="G65" s="2">
        <f>SUM(G47:G64)</f>
        <v>67387.575000000012</v>
      </c>
    </row>
    <row r="67" spans="3:7" x14ac:dyDescent="0.3">
      <c r="C67" s="1" t="s">
        <v>23</v>
      </c>
    </row>
    <row r="68" spans="3:7" x14ac:dyDescent="0.3">
      <c r="C68" s="1" t="s">
        <v>95</v>
      </c>
      <c r="E68" s="2">
        <f>F41*50</f>
        <v>3652.0000000000005</v>
      </c>
    </row>
    <row r="69" spans="3:7" x14ac:dyDescent="0.3">
      <c r="C69" s="1" t="s">
        <v>196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69"/>
  <sheetViews>
    <sheetView topLeftCell="B48" workbookViewId="0">
      <selection activeCell="C70" sqref="C70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1" style="1" bestFit="1" customWidth="1"/>
    <col min="4" max="4" width="15" style="1" bestFit="1" customWidth="1"/>
    <col min="5" max="6" width="11.42578125" style="1"/>
    <col min="7" max="7" width="12.42578125" style="1" bestFit="1" customWidth="1"/>
    <col min="8" max="16384" width="11.42578125" style="1"/>
  </cols>
  <sheetData>
    <row r="1" spans="2:8" x14ac:dyDescent="0.3">
      <c r="B1" s="1" t="s">
        <v>0</v>
      </c>
      <c r="C1" s="1" t="s">
        <v>112</v>
      </c>
      <c r="D1" s="1" t="s">
        <v>181</v>
      </c>
    </row>
    <row r="2" spans="2:8" x14ac:dyDescent="0.3">
      <c r="B2" s="1" t="s">
        <v>1</v>
      </c>
      <c r="C2" s="2">
        <f>+'Tab-2018'!I12</f>
        <v>170</v>
      </c>
      <c r="E2" s="1" t="s">
        <v>194</v>
      </c>
      <c r="F2" s="33">
        <f>+Eleuterio!F2</f>
        <v>80.599999999999994</v>
      </c>
    </row>
    <row r="3" spans="2:8" x14ac:dyDescent="0.3">
      <c r="B3" s="1" t="s">
        <v>104</v>
      </c>
      <c r="C3" s="2">
        <f>((C2*366+D9+D10+D11+D18+D19)/366)</f>
        <v>196.93989071038251</v>
      </c>
    </row>
    <row r="4" spans="2:8" x14ac:dyDescent="0.3">
      <c r="B4" s="1" t="s">
        <v>26</v>
      </c>
    </row>
    <row r="6" spans="2:8" ht="16.5" x14ac:dyDescent="0.35"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8" spans="2:8" x14ac:dyDescent="0.3">
      <c r="C8" s="1" t="s">
        <v>8</v>
      </c>
      <c r="D8" s="2">
        <f>(C2*366)-(C4*C2)</f>
        <v>62220</v>
      </c>
      <c r="E8" s="2"/>
      <c r="F8" s="2"/>
      <c r="G8" s="2">
        <f>D8-E8-F8</f>
        <v>62220</v>
      </c>
      <c r="H8" s="1" t="s">
        <v>85</v>
      </c>
    </row>
    <row r="9" spans="2:8" x14ac:dyDescent="0.3">
      <c r="C9" s="1" t="s">
        <v>9</v>
      </c>
      <c r="D9" s="2">
        <f>C2*30</f>
        <v>5100</v>
      </c>
      <c r="E9" s="2">
        <f>F2*30</f>
        <v>2418</v>
      </c>
      <c r="F9" s="2"/>
      <c r="G9" s="2">
        <f t="shared" ref="G9:G24" si="0">D9-E9-F9</f>
        <v>2682</v>
      </c>
    </row>
    <row r="10" spans="2:8" x14ac:dyDescent="0.3">
      <c r="C10" s="1" t="s">
        <v>10</v>
      </c>
      <c r="D10" s="2">
        <f>C2*8*0.25</f>
        <v>340</v>
      </c>
      <c r="E10" s="2">
        <f>D10</f>
        <v>340</v>
      </c>
      <c r="F10" s="2"/>
      <c r="G10" s="2">
        <f>D10-E10-F10</f>
        <v>0</v>
      </c>
    </row>
    <row r="11" spans="2:8" x14ac:dyDescent="0.3">
      <c r="C11" s="1" t="s">
        <v>11</v>
      </c>
      <c r="D11" s="2">
        <f>C2*0.5*52</f>
        <v>4420</v>
      </c>
      <c r="E11" s="2">
        <f>F2*50</f>
        <v>4029.9999999999995</v>
      </c>
      <c r="F11" s="2"/>
      <c r="G11" s="2">
        <f t="shared" si="0"/>
        <v>390.00000000000045</v>
      </c>
    </row>
    <row r="12" spans="2:8" x14ac:dyDescent="0.3">
      <c r="C12" s="1" t="s">
        <v>12</v>
      </c>
      <c r="D12" s="2">
        <f>(C2/8)*270</f>
        <v>5737.5</v>
      </c>
      <c r="E12" s="2">
        <f>D12*50%</f>
        <v>2868.75</v>
      </c>
      <c r="F12" s="2"/>
      <c r="G12" s="2">
        <f t="shared" si="0"/>
        <v>2868.75</v>
      </c>
    </row>
    <row r="13" spans="2:8" x14ac:dyDescent="0.3">
      <c r="C13" s="1" t="s">
        <v>13</v>
      </c>
      <c r="D13" s="2">
        <v>1120</v>
      </c>
      <c r="E13" s="2">
        <f>F2*15</f>
        <v>1209</v>
      </c>
      <c r="F13" s="2"/>
      <c r="G13" s="2">
        <f t="shared" si="0"/>
        <v>-89</v>
      </c>
    </row>
    <row r="14" spans="2:8" x14ac:dyDescent="0.3">
      <c r="C14" s="1" t="s">
        <v>14</v>
      </c>
      <c r="D14" s="2">
        <f>SUM(D8:D11)*13%</f>
        <v>9370.4</v>
      </c>
      <c r="E14" s="2">
        <f>SUM(D8:D11)*13%</f>
        <v>9370.4</v>
      </c>
      <c r="F14" s="2"/>
      <c r="G14" s="2">
        <f t="shared" si="0"/>
        <v>0</v>
      </c>
    </row>
    <row r="15" spans="2:8" x14ac:dyDescent="0.3">
      <c r="C15" s="1" t="s">
        <v>101</v>
      </c>
      <c r="D15" s="2">
        <f>SUM(D8:D11)*5%</f>
        <v>3604</v>
      </c>
      <c r="E15" s="2"/>
      <c r="F15" s="2"/>
      <c r="G15" s="2">
        <f t="shared" si="0"/>
        <v>3604</v>
      </c>
    </row>
    <row r="16" spans="2:8" x14ac:dyDescent="0.3">
      <c r="C16" s="1" t="s">
        <v>15</v>
      </c>
      <c r="D16" s="2">
        <f>C2*60</f>
        <v>10200</v>
      </c>
      <c r="E16" s="2">
        <f>D16</f>
        <v>10200</v>
      </c>
      <c r="F16" s="2"/>
      <c r="G16" s="2">
        <f t="shared" si="0"/>
        <v>0</v>
      </c>
    </row>
    <row r="17" spans="3:7" x14ac:dyDescent="0.3">
      <c r="C17" s="1" t="s">
        <v>16</v>
      </c>
      <c r="D17" s="2">
        <f>F2*366*40%</f>
        <v>11799.84</v>
      </c>
      <c r="E17" s="2">
        <f>D17</f>
        <v>11799.84</v>
      </c>
      <c r="F17" s="2"/>
      <c r="G17" s="2">
        <f t="shared" si="0"/>
        <v>0</v>
      </c>
    </row>
    <row r="18" spans="3:7" x14ac:dyDescent="0.3">
      <c r="C18" s="1" t="s">
        <v>178</v>
      </c>
      <c r="D18" s="2">
        <v>0</v>
      </c>
      <c r="E18" s="2">
        <f>D18</f>
        <v>0</v>
      </c>
      <c r="F18" s="2"/>
      <c r="G18" s="2">
        <f t="shared" si="0"/>
        <v>0</v>
      </c>
    </row>
    <row r="19" spans="3:7" x14ac:dyDescent="0.3">
      <c r="C19" s="1" t="s">
        <v>179</v>
      </c>
      <c r="D19" s="2"/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18</v>
      </c>
      <c r="D20" s="2">
        <f>SUM(D8:D11)*5.2%</f>
        <v>3748.1600000000003</v>
      </c>
      <c r="E20" s="2">
        <f>D20</f>
        <v>3748.1600000000003</v>
      </c>
      <c r="F20" s="2"/>
      <c r="G20" s="2">
        <f t="shared" si="0"/>
        <v>0</v>
      </c>
    </row>
    <row r="21" spans="3:7" x14ac:dyDescent="0.3">
      <c r="C21" s="1" t="s">
        <v>19</v>
      </c>
      <c r="D21" s="2">
        <f>C2*60</f>
        <v>10200</v>
      </c>
      <c r="E21" s="2"/>
      <c r="F21" s="2">
        <f>D21</f>
        <v>10200</v>
      </c>
      <c r="G21" s="2">
        <f t="shared" si="0"/>
        <v>0</v>
      </c>
    </row>
    <row r="22" spans="3:7" x14ac:dyDescent="0.3">
      <c r="C22" s="1" t="s">
        <v>20</v>
      </c>
      <c r="D22" s="2">
        <f>+F2*275</f>
        <v>22165</v>
      </c>
      <c r="E22" s="2"/>
      <c r="F22" s="2">
        <f>D22</f>
        <v>22165</v>
      </c>
      <c r="G22" s="2">
        <f t="shared" si="0"/>
        <v>0</v>
      </c>
    </row>
    <row r="23" spans="3:7" x14ac:dyDescent="0.3">
      <c r="C23" s="1" t="s">
        <v>21</v>
      </c>
      <c r="D23" s="2">
        <v>800</v>
      </c>
      <c r="E23" s="2">
        <v>640</v>
      </c>
      <c r="F23" s="2"/>
      <c r="G23" s="2">
        <f t="shared" si="0"/>
        <v>160</v>
      </c>
    </row>
    <row r="24" spans="3:7" x14ac:dyDescent="0.3">
      <c r="C24" s="1" t="s">
        <v>22</v>
      </c>
      <c r="D24" s="2">
        <f>SUM(D8:D11)*10%</f>
        <v>7208</v>
      </c>
      <c r="E24" s="2">
        <f>F2*30-E9</f>
        <v>0</v>
      </c>
      <c r="F24" s="2"/>
      <c r="G24" s="2">
        <f t="shared" si="0"/>
        <v>7208</v>
      </c>
    </row>
    <row r="25" spans="3:7" x14ac:dyDescent="0.3">
      <c r="C25" s="1" t="s">
        <v>130</v>
      </c>
      <c r="D25" s="2">
        <f>SUM(D8:D11)*10%</f>
        <v>7208</v>
      </c>
      <c r="E25" s="2"/>
      <c r="F25" s="2"/>
      <c r="G25" s="2">
        <f>D25-E25-F25</f>
        <v>7208</v>
      </c>
    </row>
    <row r="26" spans="3:7" x14ac:dyDescent="0.3">
      <c r="D26" s="2">
        <f>SUM(D8:D25)</f>
        <v>165240.9</v>
      </c>
      <c r="E26" s="2">
        <f>SUM(E8:E25)</f>
        <v>46624.150000000009</v>
      </c>
      <c r="F26" s="2">
        <f>SUM(F8:F25)</f>
        <v>32365</v>
      </c>
      <c r="G26" s="2">
        <f>SUM(G8:G25)</f>
        <v>86251.75</v>
      </c>
    </row>
    <row r="28" spans="3:7" x14ac:dyDescent="0.3">
      <c r="C28" s="1" t="s">
        <v>23</v>
      </c>
    </row>
    <row r="29" spans="3:7" x14ac:dyDescent="0.3">
      <c r="C29" s="1" t="s">
        <v>95</v>
      </c>
      <c r="E29" s="2">
        <f>F2*50</f>
        <v>4029.9999999999995</v>
      </c>
    </row>
    <row r="30" spans="3:7" x14ac:dyDescent="0.3">
      <c r="C30" s="1" t="s">
        <v>196</v>
      </c>
    </row>
    <row r="40" spans="2:7" x14ac:dyDescent="0.3">
      <c r="B40" s="1" t="s">
        <v>0</v>
      </c>
      <c r="C40" s="1" t="s">
        <v>112</v>
      </c>
      <c r="D40" s="1" t="s">
        <v>181</v>
      </c>
    </row>
    <row r="41" spans="2:7" x14ac:dyDescent="0.3">
      <c r="B41" s="1" t="s">
        <v>1</v>
      </c>
      <c r="C41" s="2">
        <f>+'Tab-2018'!I8</f>
        <v>172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((C41*366+D48+D49+D50+D57+D58)/366)</f>
        <v>199.2568306010929</v>
      </c>
    </row>
    <row r="43" spans="2:7" x14ac:dyDescent="0.3">
      <c r="B43" s="1" t="s">
        <v>26</v>
      </c>
    </row>
    <row r="45" spans="2:7" ht="16.5" x14ac:dyDescent="0.35"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</row>
    <row r="47" spans="2:7" x14ac:dyDescent="0.3">
      <c r="C47" s="1" t="s">
        <v>8</v>
      </c>
      <c r="D47" s="2">
        <f>(C41*366)-(C43*C41)</f>
        <v>62952</v>
      </c>
      <c r="E47" s="2"/>
      <c r="F47" s="2"/>
      <c r="G47" s="2">
        <f>D47-E47-F47</f>
        <v>62952</v>
      </c>
    </row>
    <row r="48" spans="2:7" x14ac:dyDescent="0.3">
      <c r="C48" s="1" t="s">
        <v>9</v>
      </c>
      <c r="D48" s="2">
        <f>C41*30</f>
        <v>5160</v>
      </c>
      <c r="E48" s="2">
        <f>F41*30</f>
        <v>2191.2000000000003</v>
      </c>
      <c r="F48" s="2"/>
      <c r="G48" s="2">
        <f t="shared" ref="G48" si="1">D48-E48-F48</f>
        <v>2968.7999999999997</v>
      </c>
    </row>
    <row r="49" spans="3:7" x14ac:dyDescent="0.3">
      <c r="C49" s="1" t="s">
        <v>10</v>
      </c>
      <c r="D49" s="2">
        <f>C41*8*0.25</f>
        <v>344</v>
      </c>
      <c r="E49" s="2">
        <f>D49</f>
        <v>344</v>
      </c>
      <c r="F49" s="2"/>
      <c r="G49" s="2">
        <f>D49-E49-F49</f>
        <v>0</v>
      </c>
    </row>
    <row r="50" spans="3:7" x14ac:dyDescent="0.3">
      <c r="C50" s="1" t="s">
        <v>11</v>
      </c>
      <c r="D50" s="2">
        <f>C41*0.5*52</f>
        <v>4472</v>
      </c>
      <c r="E50" s="2">
        <f>F41*50</f>
        <v>3652.0000000000005</v>
      </c>
      <c r="F50" s="2"/>
      <c r="G50" s="2">
        <f t="shared" ref="G50:G63" si="2">D50-E50-F50</f>
        <v>819.99999999999955</v>
      </c>
    </row>
    <row r="51" spans="3:7" x14ac:dyDescent="0.3">
      <c r="C51" s="1" t="s">
        <v>12</v>
      </c>
      <c r="D51" s="2">
        <f>(C41/8)*270</f>
        <v>5805</v>
      </c>
      <c r="E51" s="2">
        <f>D51*50%</f>
        <v>2902.5</v>
      </c>
      <c r="F51" s="2"/>
      <c r="G51" s="2">
        <f t="shared" si="2"/>
        <v>2902.5</v>
      </c>
    </row>
    <row r="52" spans="3:7" x14ac:dyDescent="0.3">
      <c r="C52" s="1" t="s">
        <v>13</v>
      </c>
      <c r="D52" s="2">
        <v>1120</v>
      </c>
      <c r="E52" s="2">
        <f>F41*15</f>
        <v>1095.6000000000001</v>
      </c>
      <c r="F52" s="2"/>
      <c r="G52" s="2">
        <f t="shared" si="2"/>
        <v>24.399999999999864</v>
      </c>
    </row>
    <row r="53" spans="3:7" x14ac:dyDescent="0.3">
      <c r="C53" s="1" t="s">
        <v>14</v>
      </c>
      <c r="D53" s="2">
        <f>SUM(D47:D50)*13%</f>
        <v>9480.64</v>
      </c>
      <c r="E53" s="2">
        <f>SUM(D47:D50)*13%</f>
        <v>9480.64</v>
      </c>
      <c r="F53" s="2"/>
      <c r="G53" s="2">
        <f t="shared" si="2"/>
        <v>0</v>
      </c>
    </row>
    <row r="54" spans="3:7" x14ac:dyDescent="0.3">
      <c r="C54" s="1" t="s">
        <v>101</v>
      </c>
      <c r="D54" s="2">
        <f>SUM(D47:D50)*5%</f>
        <v>3646.4</v>
      </c>
      <c r="E54" s="2"/>
      <c r="F54" s="2"/>
      <c r="G54" s="2">
        <f t="shared" si="2"/>
        <v>3646.4</v>
      </c>
    </row>
    <row r="55" spans="3:7" x14ac:dyDescent="0.3">
      <c r="C55" s="1" t="s">
        <v>15</v>
      </c>
      <c r="D55" s="2">
        <f>C41*60</f>
        <v>10320</v>
      </c>
      <c r="E55" s="2">
        <f>D55</f>
        <v>10320</v>
      </c>
      <c r="F55" s="2"/>
      <c r="G55" s="2">
        <f t="shared" si="2"/>
        <v>0</v>
      </c>
    </row>
    <row r="56" spans="3:7" x14ac:dyDescent="0.3">
      <c r="C56" s="1" t="s">
        <v>16</v>
      </c>
      <c r="D56" s="2">
        <f>F41*366*40%</f>
        <v>10693.056000000002</v>
      </c>
      <c r="E56" s="2">
        <f>D56</f>
        <v>10693.056000000002</v>
      </c>
      <c r="F56" s="2"/>
      <c r="G56" s="2">
        <f t="shared" si="2"/>
        <v>0</v>
      </c>
    </row>
    <row r="57" spans="3:7" x14ac:dyDescent="0.3">
      <c r="C57" s="1" t="s">
        <v>178</v>
      </c>
      <c r="D57" s="2">
        <v>0</v>
      </c>
      <c r="E57" s="2">
        <f>D57</f>
        <v>0</v>
      </c>
      <c r="F57" s="2"/>
      <c r="G57" s="2">
        <f t="shared" si="2"/>
        <v>0</v>
      </c>
    </row>
    <row r="58" spans="3:7" x14ac:dyDescent="0.3">
      <c r="C58" s="1" t="s">
        <v>179</v>
      </c>
      <c r="D58" s="2"/>
      <c r="E58" s="2">
        <f>D58</f>
        <v>0</v>
      </c>
      <c r="F58" s="2"/>
      <c r="G58" s="2">
        <f t="shared" si="2"/>
        <v>0</v>
      </c>
    </row>
    <row r="59" spans="3:7" x14ac:dyDescent="0.3">
      <c r="C59" s="1" t="s">
        <v>18</v>
      </c>
      <c r="D59" s="2">
        <f>SUM(D47:D50)*5.2%</f>
        <v>3792.2560000000003</v>
      </c>
      <c r="E59" s="2">
        <f>D59</f>
        <v>3792.2560000000003</v>
      </c>
      <c r="F59" s="2"/>
      <c r="G59" s="2">
        <f t="shared" si="2"/>
        <v>0</v>
      </c>
    </row>
    <row r="60" spans="3:7" x14ac:dyDescent="0.3">
      <c r="C60" s="1" t="s">
        <v>19</v>
      </c>
      <c r="D60" s="2">
        <f>C41*60</f>
        <v>10320</v>
      </c>
      <c r="E60" s="2"/>
      <c r="F60" s="2">
        <f>D60</f>
        <v>10320</v>
      </c>
      <c r="G60" s="2">
        <f t="shared" si="2"/>
        <v>0</v>
      </c>
    </row>
    <row r="61" spans="3:7" x14ac:dyDescent="0.3">
      <c r="C61" s="1" t="s">
        <v>20</v>
      </c>
      <c r="D61" s="2">
        <f>+F41*275</f>
        <v>20086</v>
      </c>
      <c r="E61" s="2"/>
      <c r="F61" s="2">
        <f>D61</f>
        <v>20086</v>
      </c>
      <c r="G61" s="2">
        <f t="shared" si="2"/>
        <v>0</v>
      </c>
    </row>
    <row r="62" spans="3:7" x14ac:dyDescent="0.3">
      <c r="C62" s="1" t="s">
        <v>21</v>
      </c>
      <c r="D62" s="2">
        <v>800</v>
      </c>
      <c r="E62" s="2">
        <v>640</v>
      </c>
      <c r="F62" s="2"/>
      <c r="G62" s="2">
        <f t="shared" si="2"/>
        <v>160</v>
      </c>
    </row>
    <row r="63" spans="3:7" x14ac:dyDescent="0.3">
      <c r="C63" s="1" t="s">
        <v>22</v>
      </c>
      <c r="D63" s="2">
        <f>SUM(D47:D50)*10%</f>
        <v>7292.8</v>
      </c>
      <c r="E63" s="2">
        <f>F41*30-E48</f>
        <v>0</v>
      </c>
      <c r="F63" s="2"/>
      <c r="G63" s="2">
        <f t="shared" si="2"/>
        <v>7292.8</v>
      </c>
    </row>
    <row r="64" spans="3:7" x14ac:dyDescent="0.3">
      <c r="C64" s="1" t="s">
        <v>130</v>
      </c>
      <c r="D64" s="2">
        <f>SUM(D47:D50)*10%</f>
        <v>7292.8</v>
      </c>
      <c r="E64" s="2"/>
      <c r="F64" s="2"/>
      <c r="G64" s="2">
        <f>D64-E64-F64</f>
        <v>7292.8</v>
      </c>
    </row>
    <row r="65" spans="3:7" x14ac:dyDescent="0.3">
      <c r="D65" s="2">
        <f>SUM(D47:D64)</f>
        <v>163576.95199999996</v>
      </c>
      <c r="E65" s="2">
        <f>SUM(E47:E64)</f>
        <v>45111.252000000008</v>
      </c>
      <c r="F65" s="2">
        <f>SUM(F47:F64)</f>
        <v>30406</v>
      </c>
      <c r="G65" s="2">
        <f>SUM(G47:G64)</f>
        <v>88059.7</v>
      </c>
    </row>
    <row r="67" spans="3:7" x14ac:dyDescent="0.3">
      <c r="C67" s="1" t="s">
        <v>23</v>
      </c>
    </row>
    <row r="68" spans="3:7" x14ac:dyDescent="0.3">
      <c r="C68" s="1" t="s">
        <v>95</v>
      </c>
      <c r="E68" s="2">
        <f>F41*50</f>
        <v>3652.0000000000005</v>
      </c>
    </row>
    <row r="69" spans="3:7" x14ac:dyDescent="0.3">
      <c r="C69" s="1" t="s">
        <v>196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G69"/>
  <sheetViews>
    <sheetView workbookViewId="0">
      <selection activeCell="C1" sqref="C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1" style="1" bestFit="1" customWidth="1"/>
    <col min="4" max="4" width="15" style="1" bestFit="1" customWidth="1"/>
    <col min="5" max="16384" width="11.42578125" style="1"/>
  </cols>
  <sheetData>
    <row r="1" spans="2:7" x14ac:dyDescent="0.3">
      <c r="B1" s="1" t="s">
        <v>0</v>
      </c>
      <c r="C1" s="1" t="s">
        <v>28</v>
      </c>
      <c r="D1" s="1" t="s">
        <v>182</v>
      </c>
    </row>
    <row r="2" spans="2:7" x14ac:dyDescent="0.3">
      <c r="B2" s="1" t="s">
        <v>1</v>
      </c>
      <c r="C2" s="2">
        <f>+'Tab-2018'!I13</f>
        <v>181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((C2*366+D10+D11+D12+D19+D20)/366)</f>
        <v>214.82622950819672</v>
      </c>
    </row>
    <row r="4" spans="2:7" x14ac:dyDescent="0.3">
      <c r="B4" s="1" t="s">
        <v>2</v>
      </c>
      <c r="C4" s="1">
        <v>14</v>
      </c>
    </row>
    <row r="5" spans="2:7" x14ac:dyDescent="0.3">
      <c r="B5" s="1" t="s">
        <v>26</v>
      </c>
      <c r="C5" s="1">
        <v>21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(C2*366)-(C4*C2)-(C5*C2)</f>
        <v>59911</v>
      </c>
      <c r="E9" s="2"/>
      <c r="F9" s="2"/>
      <c r="G9" s="2">
        <f>D9-E9-F9</f>
        <v>59911</v>
      </c>
    </row>
    <row r="10" spans="2:7" x14ac:dyDescent="0.3">
      <c r="C10" s="1" t="s">
        <v>9</v>
      </c>
      <c r="D10" s="2">
        <f>C2*30</f>
        <v>5430</v>
      </c>
      <c r="E10" s="2">
        <f>F2*30</f>
        <v>2418</v>
      </c>
      <c r="F10" s="2"/>
      <c r="G10" s="2">
        <f t="shared" ref="G10:G25" si="0">D10-E10-F10</f>
        <v>3012</v>
      </c>
    </row>
    <row r="11" spans="2:7" x14ac:dyDescent="0.3">
      <c r="C11" s="1" t="s">
        <v>10</v>
      </c>
      <c r="D11" s="2">
        <f>C2*16*0.25</f>
        <v>724</v>
      </c>
      <c r="E11" s="2">
        <f>D11</f>
        <v>724</v>
      </c>
      <c r="F11" s="2"/>
      <c r="G11" s="2">
        <f>D11-E11-F11</f>
        <v>0</v>
      </c>
    </row>
    <row r="12" spans="2:7" x14ac:dyDescent="0.3">
      <c r="C12" s="1" t="s">
        <v>11</v>
      </c>
      <c r="D12" s="2">
        <f>C2*0.5*52</f>
        <v>4706</v>
      </c>
      <c r="E12" s="2">
        <f>F2*50</f>
        <v>4029.9999999999995</v>
      </c>
      <c r="F12" s="2"/>
      <c r="G12" s="2">
        <f t="shared" si="0"/>
        <v>676.00000000000045</v>
      </c>
    </row>
    <row r="13" spans="2:7" x14ac:dyDescent="0.3">
      <c r="C13" s="1" t="s">
        <v>12</v>
      </c>
      <c r="D13" s="2">
        <f>(C2/8)*270</f>
        <v>6108.75</v>
      </c>
      <c r="E13" s="2">
        <f>+D13</f>
        <v>6108.75</v>
      </c>
      <c r="F13" s="2"/>
      <c r="G13" s="2">
        <f t="shared" si="0"/>
        <v>0</v>
      </c>
    </row>
    <row r="14" spans="2:7" x14ac:dyDescent="0.3">
      <c r="C14" s="1" t="s">
        <v>13</v>
      </c>
      <c r="D14" s="2">
        <v>1230</v>
      </c>
      <c r="E14" s="2">
        <f>F2*15</f>
        <v>1209</v>
      </c>
      <c r="F14" s="2"/>
      <c r="G14" s="2">
        <f t="shared" si="0"/>
        <v>21</v>
      </c>
    </row>
    <row r="15" spans="2:7" x14ac:dyDescent="0.3">
      <c r="C15" s="1" t="s">
        <v>14</v>
      </c>
      <c r="D15" s="2">
        <f>SUM(D9:D12)*13%</f>
        <v>9200.23</v>
      </c>
      <c r="E15" s="2">
        <f>SUM(D9:D12)*13%</f>
        <v>9200.23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3538.55</v>
      </c>
      <c r="E16" s="2"/>
      <c r="F16" s="2"/>
      <c r="G16" s="2">
        <f t="shared" si="0"/>
        <v>3538.55</v>
      </c>
    </row>
    <row r="17" spans="3:7" x14ac:dyDescent="0.3">
      <c r="C17" s="1" t="s">
        <v>15</v>
      </c>
      <c r="D17" s="2">
        <f>C2*60</f>
        <v>10860</v>
      </c>
      <c r="E17" s="2">
        <f>D17</f>
        <v>10860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D18</f>
        <v>11799.84</v>
      </c>
      <c r="F18" s="2"/>
      <c r="G18" s="2">
        <f t="shared" si="0"/>
        <v>0</v>
      </c>
    </row>
    <row r="19" spans="3:7" x14ac:dyDescent="0.3">
      <c r="C19" s="1" t="s">
        <v>178</v>
      </c>
      <c r="D19" s="2"/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>
        <f>C2*C4*60%</f>
        <v>1520.3999999999999</v>
      </c>
      <c r="E20" s="2">
        <f>D20</f>
        <v>1520.3999999999999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3680.0920000000001</v>
      </c>
      <c r="E21" s="2">
        <f>D21</f>
        <v>3680.0920000000001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10860</v>
      </c>
      <c r="E22" s="2"/>
      <c r="F22" s="2">
        <f>D22</f>
        <v>10860</v>
      </c>
      <c r="G22" s="2">
        <f t="shared" si="0"/>
        <v>0</v>
      </c>
    </row>
    <row r="23" spans="3:7" x14ac:dyDescent="0.3">
      <c r="C23" s="1" t="s">
        <v>20</v>
      </c>
      <c r="D23" s="2">
        <f>+F2*255</f>
        <v>20553</v>
      </c>
      <c r="E23" s="2"/>
      <c r="F23" s="2">
        <f>D23</f>
        <v>20553</v>
      </c>
      <c r="G23" s="2">
        <f t="shared" si="0"/>
        <v>0</v>
      </c>
    </row>
    <row r="24" spans="3:7" x14ac:dyDescent="0.3">
      <c r="C24" s="1" t="s">
        <v>21</v>
      </c>
      <c r="D24" s="2">
        <v>2500</v>
      </c>
      <c r="E24" s="2">
        <v>640</v>
      </c>
      <c r="F24" s="2"/>
      <c r="G24" s="2">
        <f t="shared" si="0"/>
        <v>1860</v>
      </c>
    </row>
    <row r="25" spans="3:7" x14ac:dyDescent="0.3">
      <c r="C25" s="1" t="s">
        <v>22</v>
      </c>
      <c r="D25" s="2">
        <f>SUM(D9:D12)*10%</f>
        <v>7077.1</v>
      </c>
      <c r="E25" s="2">
        <f>F2*30-E10</f>
        <v>0</v>
      </c>
      <c r="F25" s="2"/>
      <c r="G25" s="2">
        <f t="shared" si="0"/>
        <v>7077.1</v>
      </c>
    </row>
    <row r="26" spans="3:7" x14ac:dyDescent="0.3">
      <c r="C26" s="1" t="s">
        <v>130</v>
      </c>
      <c r="D26" s="2">
        <f>SUM(D9:D12)*10%</f>
        <v>7077.1</v>
      </c>
      <c r="E26" s="2"/>
      <c r="F26" s="2"/>
      <c r="G26" s="2">
        <f>D26-E26-F26</f>
        <v>7077.1</v>
      </c>
    </row>
    <row r="27" spans="3:7" x14ac:dyDescent="0.3">
      <c r="D27" s="2">
        <f>SUM(D9:D26)</f>
        <v>166776.06200000001</v>
      </c>
      <c r="E27" s="2">
        <f>SUM(E9:E26)</f>
        <v>52190.311999999991</v>
      </c>
      <c r="F27" s="2">
        <f>SUM(F9:F26)</f>
        <v>31413</v>
      </c>
      <c r="G27" s="2">
        <f>SUM(G9:G26)</f>
        <v>83172.750000000015</v>
      </c>
    </row>
    <row r="29" spans="3:7" x14ac:dyDescent="0.3">
      <c r="C29" s="1" t="s">
        <v>23</v>
      </c>
    </row>
    <row r="30" spans="3:7" x14ac:dyDescent="0.3">
      <c r="C30" s="1" t="s">
        <v>95</v>
      </c>
      <c r="E30" s="2">
        <f>F2*50</f>
        <v>4029.9999999999995</v>
      </c>
    </row>
    <row r="40" spans="2:7" x14ac:dyDescent="0.3">
      <c r="B40" s="1" t="s">
        <v>0</v>
      </c>
      <c r="C40" s="1" t="s">
        <v>28</v>
      </c>
      <c r="D40" s="1" t="s">
        <v>182</v>
      </c>
    </row>
    <row r="41" spans="2:7" x14ac:dyDescent="0.3">
      <c r="B41" s="1" t="s">
        <v>1</v>
      </c>
      <c r="C41" s="2">
        <f>+'Tab-2018'!I9</f>
        <v>187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((C41*366+D49+D50+D51+D58+D59)/366)</f>
        <v>221.94754098360656</v>
      </c>
    </row>
    <row r="43" spans="2:7" x14ac:dyDescent="0.3">
      <c r="B43" s="1" t="s">
        <v>2</v>
      </c>
      <c r="C43" s="1">
        <v>14</v>
      </c>
    </row>
    <row r="44" spans="2:7" x14ac:dyDescent="0.3">
      <c r="B44" s="1" t="s">
        <v>26</v>
      </c>
      <c r="C44" s="1">
        <v>21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(C41*366)-(C43*C41)-(C44*C41)</f>
        <v>61897</v>
      </c>
      <c r="E48" s="2"/>
      <c r="F48" s="2"/>
      <c r="G48" s="2">
        <f>D48-E48-F48</f>
        <v>61897</v>
      </c>
    </row>
    <row r="49" spans="3:7" x14ac:dyDescent="0.3">
      <c r="C49" s="1" t="s">
        <v>9</v>
      </c>
      <c r="D49" s="2">
        <f>C41*30</f>
        <v>5610</v>
      </c>
      <c r="E49" s="2">
        <f>F41*30</f>
        <v>2191.2000000000003</v>
      </c>
      <c r="F49" s="2"/>
      <c r="G49" s="2">
        <f t="shared" ref="G49" si="1">D49-E49-F49</f>
        <v>3418.7999999999997</v>
      </c>
    </row>
    <row r="50" spans="3:7" x14ac:dyDescent="0.3">
      <c r="C50" s="1" t="s">
        <v>10</v>
      </c>
      <c r="D50" s="2">
        <f>C41*16*0.25</f>
        <v>748</v>
      </c>
      <c r="E50" s="2">
        <f>D50</f>
        <v>748</v>
      </c>
      <c r="F50" s="2"/>
      <c r="G50" s="2">
        <f>D50-E50-F50</f>
        <v>0</v>
      </c>
    </row>
    <row r="51" spans="3:7" x14ac:dyDescent="0.3">
      <c r="C51" s="1" t="s">
        <v>11</v>
      </c>
      <c r="D51" s="2">
        <f>C41*0.5*52</f>
        <v>4862</v>
      </c>
      <c r="E51" s="2">
        <f>F41*50</f>
        <v>3652.0000000000005</v>
      </c>
      <c r="F51" s="2"/>
      <c r="G51" s="2">
        <f t="shared" ref="G51:G64" si="2">D51-E51-F51</f>
        <v>1209.9999999999995</v>
      </c>
    </row>
    <row r="52" spans="3:7" x14ac:dyDescent="0.3">
      <c r="C52" s="1" t="s">
        <v>12</v>
      </c>
      <c r="D52" s="2">
        <f>(C41/8)*270</f>
        <v>6311.25</v>
      </c>
      <c r="E52" s="2">
        <f>+D52</f>
        <v>6311.25</v>
      </c>
      <c r="F52" s="2"/>
      <c r="G52" s="2">
        <f t="shared" si="2"/>
        <v>0</v>
      </c>
    </row>
    <row r="53" spans="3:7" x14ac:dyDescent="0.3">
      <c r="C53" s="1" t="s">
        <v>13</v>
      </c>
      <c r="D53" s="2">
        <v>1230</v>
      </c>
      <c r="E53" s="2">
        <f>F41*15</f>
        <v>1095.6000000000001</v>
      </c>
      <c r="F53" s="2"/>
      <c r="G53" s="2">
        <f t="shared" si="2"/>
        <v>134.39999999999986</v>
      </c>
    </row>
    <row r="54" spans="3:7" x14ac:dyDescent="0.3">
      <c r="C54" s="1" t="s">
        <v>14</v>
      </c>
      <c r="D54" s="2">
        <f>SUM(D48:D51)*13%</f>
        <v>9505.2100000000009</v>
      </c>
      <c r="E54" s="2">
        <f>SUM(D48:D51)*13%</f>
        <v>9505.2100000000009</v>
      </c>
      <c r="F54" s="2"/>
      <c r="G54" s="2">
        <f t="shared" si="2"/>
        <v>0</v>
      </c>
    </row>
    <row r="55" spans="3:7" x14ac:dyDescent="0.3">
      <c r="C55" s="1" t="s">
        <v>101</v>
      </c>
      <c r="D55" s="2">
        <f>SUM(D48:D51)*5%</f>
        <v>3655.8500000000004</v>
      </c>
      <c r="E55" s="2"/>
      <c r="F55" s="2"/>
      <c r="G55" s="2">
        <f t="shared" si="2"/>
        <v>3655.8500000000004</v>
      </c>
    </row>
    <row r="56" spans="3:7" x14ac:dyDescent="0.3">
      <c r="C56" s="1" t="s">
        <v>15</v>
      </c>
      <c r="D56" s="2">
        <f>C41*60</f>
        <v>11220</v>
      </c>
      <c r="E56" s="2">
        <f>D56</f>
        <v>11220</v>
      </c>
      <c r="F56" s="2"/>
      <c r="G56" s="2">
        <f t="shared" si="2"/>
        <v>0</v>
      </c>
    </row>
    <row r="57" spans="3:7" x14ac:dyDescent="0.3">
      <c r="C57" s="1" t="s">
        <v>16</v>
      </c>
      <c r="D57" s="2">
        <f>F41*366*40%</f>
        <v>10693.056000000002</v>
      </c>
      <c r="E57" s="2">
        <f>D57</f>
        <v>10693.056000000002</v>
      </c>
      <c r="F57" s="2"/>
      <c r="G57" s="2">
        <f t="shared" si="2"/>
        <v>0</v>
      </c>
    </row>
    <row r="58" spans="3:7" x14ac:dyDescent="0.3">
      <c r="C58" s="1" t="s">
        <v>178</v>
      </c>
      <c r="D58" s="2"/>
      <c r="E58" s="2">
        <f>D58</f>
        <v>0</v>
      </c>
      <c r="F58" s="2"/>
      <c r="G58" s="2">
        <f t="shared" si="2"/>
        <v>0</v>
      </c>
    </row>
    <row r="59" spans="3:7" x14ac:dyDescent="0.3">
      <c r="C59" s="1" t="s">
        <v>179</v>
      </c>
      <c r="D59" s="2">
        <f>C41*C43*60%</f>
        <v>1570.8</v>
      </c>
      <c r="E59" s="2">
        <f>D59</f>
        <v>1570.8</v>
      </c>
      <c r="F59" s="2"/>
      <c r="G59" s="2">
        <f t="shared" si="2"/>
        <v>0</v>
      </c>
    </row>
    <row r="60" spans="3:7" x14ac:dyDescent="0.3">
      <c r="C60" s="1" t="s">
        <v>18</v>
      </c>
      <c r="D60" s="2">
        <f>SUM(D48:D51)*5.2%</f>
        <v>3802.0840000000003</v>
      </c>
      <c r="E60" s="2">
        <f>D60</f>
        <v>3802.0840000000003</v>
      </c>
      <c r="F60" s="2"/>
      <c r="G60" s="2">
        <f t="shared" si="2"/>
        <v>0</v>
      </c>
    </row>
    <row r="61" spans="3:7" x14ac:dyDescent="0.3">
      <c r="C61" s="1" t="s">
        <v>19</v>
      </c>
      <c r="D61" s="2">
        <f>C41*60</f>
        <v>11220</v>
      </c>
      <c r="E61" s="2"/>
      <c r="F61" s="2">
        <f>D61</f>
        <v>11220</v>
      </c>
      <c r="G61" s="2">
        <f t="shared" si="2"/>
        <v>0</v>
      </c>
    </row>
    <row r="62" spans="3:7" x14ac:dyDescent="0.3">
      <c r="C62" s="1" t="s">
        <v>20</v>
      </c>
      <c r="D62" s="2">
        <f>+F41*255</f>
        <v>18625.2</v>
      </c>
      <c r="E62" s="2"/>
      <c r="F62" s="2">
        <f>D62</f>
        <v>18625.2</v>
      </c>
      <c r="G62" s="2">
        <f t="shared" si="2"/>
        <v>0</v>
      </c>
    </row>
    <row r="63" spans="3:7" x14ac:dyDescent="0.3">
      <c r="C63" s="1" t="s">
        <v>21</v>
      </c>
      <c r="D63" s="2">
        <v>2500</v>
      </c>
      <c r="E63" s="2">
        <v>640</v>
      </c>
      <c r="F63" s="2"/>
      <c r="G63" s="2">
        <f t="shared" si="2"/>
        <v>1860</v>
      </c>
    </row>
    <row r="64" spans="3:7" x14ac:dyDescent="0.3">
      <c r="C64" s="1" t="s">
        <v>22</v>
      </c>
      <c r="D64" s="2">
        <f>SUM(D48:D51)*10%</f>
        <v>7311.7000000000007</v>
      </c>
      <c r="E64" s="2">
        <f>F41*30-E49</f>
        <v>0</v>
      </c>
      <c r="F64" s="2"/>
      <c r="G64" s="2">
        <f t="shared" si="2"/>
        <v>7311.7000000000007</v>
      </c>
    </row>
    <row r="65" spans="3:7" x14ac:dyDescent="0.3">
      <c r="C65" s="1" t="s">
        <v>130</v>
      </c>
      <c r="D65" s="2">
        <f>SUM(D48:D51)*10%</f>
        <v>7311.7000000000007</v>
      </c>
      <c r="E65" s="2"/>
      <c r="F65" s="2"/>
      <c r="G65" s="2">
        <f>D65-E65-F65</f>
        <v>7311.7000000000007</v>
      </c>
    </row>
    <row r="66" spans="3:7" x14ac:dyDescent="0.3">
      <c r="D66" s="2">
        <f>SUM(D48:D65)</f>
        <v>168073.85000000003</v>
      </c>
      <c r="E66" s="2">
        <f>SUM(E48:E65)</f>
        <v>51429.200000000012</v>
      </c>
      <c r="F66" s="2">
        <f>SUM(F48:F65)</f>
        <v>29845.200000000001</v>
      </c>
      <c r="G66" s="2">
        <f>SUM(G48:G65)</f>
        <v>86799.45</v>
      </c>
    </row>
    <row r="68" spans="3:7" x14ac:dyDescent="0.3">
      <c r="C68" s="1" t="s">
        <v>23</v>
      </c>
    </row>
    <row r="69" spans="3:7" x14ac:dyDescent="0.3">
      <c r="C69" s="1" t="s">
        <v>95</v>
      </c>
      <c r="E69" s="2">
        <f>F41*50</f>
        <v>3652.0000000000005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G70"/>
  <sheetViews>
    <sheetView topLeftCell="B1" workbookViewId="0">
      <selection activeCell="C15" sqref="C15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23.7109375" style="1" bestFit="1" customWidth="1"/>
    <col min="4" max="4" width="15.140625" style="1" bestFit="1" customWidth="1"/>
    <col min="5" max="7" width="11.5703125" style="1" bestFit="1" customWidth="1"/>
    <col min="8" max="16384" width="11.42578125" style="1"/>
  </cols>
  <sheetData>
    <row r="1" spans="2:7" x14ac:dyDescent="0.3">
      <c r="B1" s="1" t="s">
        <v>0</v>
      </c>
      <c r="C1" s="1" t="s">
        <v>29</v>
      </c>
      <c r="D1" s="1" t="s">
        <v>183</v>
      </c>
    </row>
    <row r="2" spans="2:7" x14ac:dyDescent="0.3">
      <c r="B2" s="1" t="s">
        <v>1</v>
      </c>
      <c r="C2" s="2">
        <f>+'Tab-2018'!I17</f>
        <v>140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((C2*366)+D10+D11+D12+D19+D20)/366</f>
        <v>163.14207650273224</v>
      </c>
    </row>
    <row r="4" spans="2:7" x14ac:dyDescent="0.3">
      <c r="B4" s="1" t="s">
        <v>2</v>
      </c>
      <c r="C4" s="1">
        <v>4</v>
      </c>
    </row>
    <row r="5" spans="2:7" x14ac:dyDescent="0.3">
      <c r="B5" s="1" t="s">
        <v>26</v>
      </c>
      <c r="C5" s="1">
        <v>11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(C2*366)-(C4*C2)-(C5*C2)</f>
        <v>49140</v>
      </c>
      <c r="E9" s="2"/>
      <c r="F9" s="2"/>
      <c r="G9" s="2">
        <f>D9-E9-F9</f>
        <v>49140</v>
      </c>
    </row>
    <row r="10" spans="2:7" x14ac:dyDescent="0.3">
      <c r="C10" s="1" t="s">
        <v>9</v>
      </c>
      <c r="D10" s="2">
        <f>C2*30</f>
        <v>4200</v>
      </c>
      <c r="E10" s="2">
        <f>F2*30</f>
        <v>2418</v>
      </c>
      <c r="F10" s="2"/>
      <c r="G10" s="2">
        <f t="shared" ref="G10:G25" si="0">D10-E10-F10</f>
        <v>1782</v>
      </c>
    </row>
    <row r="11" spans="2:7" x14ac:dyDescent="0.3">
      <c r="C11" s="1" t="s">
        <v>10</v>
      </c>
      <c r="D11" s="2">
        <f>C2*18*0.25</f>
        <v>630</v>
      </c>
      <c r="E11" s="2">
        <f>D11</f>
        <v>630</v>
      </c>
      <c r="F11" s="2"/>
      <c r="G11" s="2">
        <f>D11-E11-F11</f>
        <v>0</v>
      </c>
    </row>
    <row r="12" spans="2:7" x14ac:dyDescent="0.3">
      <c r="C12" s="1" t="s">
        <v>11</v>
      </c>
      <c r="D12" s="2">
        <f>C2*0.5*52</f>
        <v>3640</v>
      </c>
      <c r="E12" s="2">
        <f>F2*50</f>
        <v>4029.9999999999995</v>
      </c>
      <c r="F12" s="2"/>
      <c r="G12" s="2">
        <f t="shared" si="0"/>
        <v>-389.99999999999955</v>
      </c>
    </row>
    <row r="13" spans="2:7" x14ac:dyDescent="0.3">
      <c r="C13" s="1" t="s">
        <v>12</v>
      </c>
      <c r="D13" s="2">
        <f>(C2/8)*270</f>
        <v>4725</v>
      </c>
      <c r="E13" s="2">
        <f>D13*50%</f>
        <v>2362.5</v>
      </c>
      <c r="F13" s="2"/>
      <c r="G13" s="2">
        <f t="shared" si="0"/>
        <v>2362.5</v>
      </c>
    </row>
    <row r="14" spans="2:7" x14ac:dyDescent="0.3">
      <c r="C14" s="1" t="s">
        <v>13</v>
      </c>
      <c r="D14" s="2">
        <v>1700</v>
      </c>
      <c r="E14" s="2">
        <f>F2*15</f>
        <v>1209</v>
      </c>
      <c r="F14" s="2"/>
      <c r="G14" s="2">
        <f t="shared" si="0"/>
        <v>491</v>
      </c>
    </row>
    <row r="15" spans="2:7" x14ac:dyDescent="0.3">
      <c r="C15" s="1" t="s">
        <v>14</v>
      </c>
      <c r="D15" s="2">
        <f>SUM(D9:D12)*13%</f>
        <v>7489.3</v>
      </c>
      <c r="E15" s="2">
        <f>SUM(D9:D12)*13%</f>
        <v>7489.3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2880.5</v>
      </c>
      <c r="E16" s="2"/>
      <c r="F16" s="2"/>
      <c r="G16" s="2">
        <f t="shared" si="0"/>
        <v>2880.5</v>
      </c>
    </row>
    <row r="17" spans="3:7" x14ac:dyDescent="0.3">
      <c r="C17" s="1" t="s">
        <v>15</v>
      </c>
      <c r="D17" s="2">
        <f>C2*60</f>
        <v>8400</v>
      </c>
      <c r="E17" s="2">
        <f>D17</f>
        <v>8400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D18</f>
        <v>11799.84</v>
      </c>
      <c r="F18" s="2"/>
      <c r="G18" s="2">
        <f t="shared" si="0"/>
        <v>0</v>
      </c>
    </row>
    <row r="19" spans="3:7" x14ac:dyDescent="0.3">
      <c r="C19" s="1" t="s">
        <v>178</v>
      </c>
      <c r="D19" s="2"/>
      <c r="E19" s="2">
        <f>D19</f>
        <v>0</v>
      </c>
      <c r="F19" s="2"/>
      <c r="G19" s="2">
        <f t="shared" si="0"/>
        <v>0</v>
      </c>
    </row>
    <row r="20" spans="3:7" x14ac:dyDescent="0.3">
      <c r="C20" s="1" t="s">
        <v>179</v>
      </c>
      <c r="D20" s="2"/>
      <c r="E20" s="2">
        <f>D20</f>
        <v>0</v>
      </c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2995.7200000000003</v>
      </c>
      <c r="E21" s="2">
        <f>D21</f>
        <v>2995.7200000000003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8400</v>
      </c>
      <c r="E22" s="2"/>
      <c r="F22" s="2">
        <f>D22</f>
        <v>8400</v>
      </c>
      <c r="G22" s="2">
        <f t="shared" si="0"/>
        <v>0</v>
      </c>
    </row>
    <row r="23" spans="3:7" x14ac:dyDescent="0.3">
      <c r="C23" s="1" t="s">
        <v>20</v>
      </c>
      <c r="D23" s="2">
        <f>+F2*275</f>
        <v>22165</v>
      </c>
      <c r="E23" s="2"/>
      <c r="F23" s="2">
        <f>D23</f>
        <v>22165</v>
      </c>
      <c r="G23" s="2">
        <f t="shared" si="0"/>
        <v>0</v>
      </c>
    </row>
    <row r="24" spans="3:7" x14ac:dyDescent="0.3">
      <c r="C24" s="1" t="s">
        <v>21</v>
      </c>
      <c r="D24" s="2">
        <v>3500</v>
      </c>
      <c r="E24" s="2">
        <v>2640</v>
      </c>
      <c r="F24" s="2">
        <f>+D24*0.2</f>
        <v>700</v>
      </c>
      <c r="G24" s="2">
        <f t="shared" si="0"/>
        <v>160</v>
      </c>
    </row>
    <row r="25" spans="3:7" x14ac:dyDescent="0.3">
      <c r="C25" s="1" t="s">
        <v>22</v>
      </c>
      <c r="D25" s="2">
        <f>SUM(D9:D12)*10%</f>
        <v>5761</v>
      </c>
      <c r="E25" s="2">
        <f>F2*30-E10</f>
        <v>0</v>
      </c>
      <c r="F25" s="2"/>
      <c r="G25" s="2">
        <f t="shared" si="0"/>
        <v>5761</v>
      </c>
    </row>
    <row r="26" spans="3:7" x14ac:dyDescent="0.3">
      <c r="C26" s="1" t="s">
        <v>130</v>
      </c>
      <c r="D26" s="2">
        <f>SUM(D9:D12)*10%</f>
        <v>5761</v>
      </c>
      <c r="E26" s="2"/>
      <c r="F26" s="2"/>
      <c r="G26" s="2">
        <f>D26-E26-F26</f>
        <v>5761</v>
      </c>
    </row>
    <row r="27" spans="3:7" x14ac:dyDescent="0.3">
      <c r="D27" s="2">
        <f>SUM(D9:D26)</f>
        <v>143187.35999999999</v>
      </c>
      <c r="E27" s="2">
        <f>SUM(E9:E26)</f>
        <v>43974.36</v>
      </c>
      <c r="F27" s="2">
        <f>SUM(F9:F26)</f>
        <v>31265</v>
      </c>
      <c r="G27" s="2">
        <f>SUM(G9:G26)</f>
        <v>67948</v>
      </c>
    </row>
    <row r="28" spans="3:7" x14ac:dyDescent="0.3">
      <c r="D28" s="2"/>
      <c r="E28" s="2"/>
      <c r="F28" s="2"/>
      <c r="G28" s="2"/>
    </row>
    <row r="30" spans="3:7" x14ac:dyDescent="0.3">
      <c r="C30" s="1" t="s">
        <v>23</v>
      </c>
    </row>
    <row r="31" spans="3:7" x14ac:dyDescent="0.3">
      <c r="C31" s="1" t="s">
        <v>95</v>
      </c>
      <c r="E31" s="2">
        <f>F2*50</f>
        <v>4029.9999999999995</v>
      </c>
    </row>
    <row r="40" spans="2:7" x14ac:dyDescent="0.3">
      <c r="B40" s="1" t="s">
        <v>0</v>
      </c>
      <c r="C40" s="1" t="s">
        <v>29</v>
      </c>
      <c r="D40" s="1" t="s">
        <v>183</v>
      </c>
    </row>
    <row r="41" spans="2:7" x14ac:dyDescent="0.3">
      <c r="B41" s="1" t="s">
        <v>1</v>
      </c>
      <c r="C41" s="2">
        <f>+'Tab-2018'!I18</f>
        <v>157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((C41*366)+D49+D50+D51+D58+D59)/366</f>
        <v>182.95218579234972</v>
      </c>
    </row>
    <row r="43" spans="2:7" x14ac:dyDescent="0.3">
      <c r="B43" s="1" t="s">
        <v>2</v>
      </c>
      <c r="C43" s="1">
        <v>4</v>
      </c>
    </row>
    <row r="44" spans="2:7" x14ac:dyDescent="0.3">
      <c r="B44" s="1" t="s">
        <v>26</v>
      </c>
      <c r="C44" s="1">
        <v>11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(C41*366)-(C43*C41)-(C44*C41)</f>
        <v>55107</v>
      </c>
      <c r="E48" s="2"/>
      <c r="F48" s="2"/>
      <c r="G48" s="2">
        <f>D48-E48-F48</f>
        <v>55107</v>
      </c>
    </row>
    <row r="49" spans="3:7" x14ac:dyDescent="0.3">
      <c r="C49" s="1" t="s">
        <v>9</v>
      </c>
      <c r="D49" s="2">
        <f>C41*30</f>
        <v>4710</v>
      </c>
      <c r="E49" s="2">
        <f>F41*30</f>
        <v>2191.2000000000003</v>
      </c>
      <c r="F49" s="2"/>
      <c r="G49" s="2">
        <f t="shared" ref="G49" si="1">D49-E49-F49</f>
        <v>2518.7999999999997</v>
      </c>
    </row>
    <row r="50" spans="3:7" x14ac:dyDescent="0.3">
      <c r="C50" s="1" t="s">
        <v>10</v>
      </c>
      <c r="D50" s="2">
        <f>C41*18*0.25</f>
        <v>706.5</v>
      </c>
      <c r="E50" s="2">
        <f>D50</f>
        <v>706.5</v>
      </c>
      <c r="F50" s="2"/>
      <c r="G50" s="2">
        <f>D50-E50-F50</f>
        <v>0</v>
      </c>
    </row>
    <row r="51" spans="3:7" x14ac:dyDescent="0.3">
      <c r="C51" s="1" t="s">
        <v>11</v>
      </c>
      <c r="D51" s="2">
        <f>C41*0.5*52</f>
        <v>4082</v>
      </c>
      <c r="E51" s="2">
        <f>F41*50</f>
        <v>3652.0000000000005</v>
      </c>
      <c r="F51" s="2"/>
      <c r="G51" s="2">
        <f t="shared" ref="G51:G64" si="2">D51-E51-F51</f>
        <v>429.99999999999955</v>
      </c>
    </row>
    <row r="52" spans="3:7" x14ac:dyDescent="0.3">
      <c r="C52" s="1" t="s">
        <v>12</v>
      </c>
      <c r="D52" s="2">
        <f>(C41/8)*270</f>
        <v>5298.75</v>
      </c>
      <c r="E52" s="2">
        <f>D52*50%</f>
        <v>2649.375</v>
      </c>
      <c r="F52" s="2"/>
      <c r="G52" s="2">
        <f t="shared" si="2"/>
        <v>2649.375</v>
      </c>
    </row>
    <row r="53" spans="3:7" x14ac:dyDescent="0.3">
      <c r="C53" s="1" t="s">
        <v>13</v>
      </c>
      <c r="D53" s="2">
        <v>1700</v>
      </c>
      <c r="E53" s="2">
        <f>F41*15</f>
        <v>1095.6000000000001</v>
      </c>
      <c r="F53" s="2"/>
      <c r="G53" s="2">
        <f t="shared" si="2"/>
        <v>604.39999999999986</v>
      </c>
    </row>
    <row r="54" spans="3:7" x14ac:dyDescent="0.3">
      <c r="C54" s="1" t="s">
        <v>14</v>
      </c>
      <c r="D54" s="2">
        <f>SUM(D48:D51)*13%</f>
        <v>8398.7150000000001</v>
      </c>
      <c r="E54" s="2">
        <f>SUM(D48:D51)*13%</f>
        <v>8398.7150000000001</v>
      </c>
      <c r="F54" s="2"/>
      <c r="G54" s="2">
        <f t="shared" si="2"/>
        <v>0</v>
      </c>
    </row>
    <row r="55" spans="3:7" x14ac:dyDescent="0.3">
      <c r="C55" s="1" t="s">
        <v>101</v>
      </c>
      <c r="D55" s="2">
        <f>SUM(D48:D51)*5%</f>
        <v>3230.2750000000001</v>
      </c>
      <c r="E55" s="2"/>
      <c r="F55" s="2"/>
      <c r="G55" s="2">
        <f t="shared" si="2"/>
        <v>3230.2750000000001</v>
      </c>
    </row>
    <row r="56" spans="3:7" x14ac:dyDescent="0.3">
      <c r="C56" s="1" t="s">
        <v>15</v>
      </c>
      <c r="D56" s="2">
        <f>C41*60</f>
        <v>9420</v>
      </c>
      <c r="E56" s="2">
        <f>D56</f>
        <v>9420</v>
      </c>
      <c r="F56" s="2"/>
      <c r="G56" s="2">
        <f t="shared" si="2"/>
        <v>0</v>
      </c>
    </row>
    <row r="57" spans="3:7" x14ac:dyDescent="0.3">
      <c r="C57" s="1" t="s">
        <v>16</v>
      </c>
      <c r="D57" s="2">
        <f>F41*366*40%</f>
        <v>10693.056000000002</v>
      </c>
      <c r="E57" s="2">
        <f>D57</f>
        <v>10693.056000000002</v>
      </c>
      <c r="F57" s="2"/>
      <c r="G57" s="2">
        <f t="shared" si="2"/>
        <v>0</v>
      </c>
    </row>
    <row r="58" spans="3:7" x14ac:dyDescent="0.3">
      <c r="C58" s="1" t="s">
        <v>178</v>
      </c>
      <c r="D58" s="2"/>
      <c r="E58" s="2">
        <f>D58</f>
        <v>0</v>
      </c>
      <c r="F58" s="2"/>
      <c r="G58" s="2">
        <f t="shared" si="2"/>
        <v>0</v>
      </c>
    </row>
    <row r="59" spans="3:7" x14ac:dyDescent="0.3">
      <c r="C59" s="1" t="s">
        <v>179</v>
      </c>
      <c r="D59" s="2"/>
      <c r="E59" s="2">
        <f>D59</f>
        <v>0</v>
      </c>
      <c r="F59" s="2"/>
      <c r="G59" s="2">
        <f t="shared" si="2"/>
        <v>0</v>
      </c>
    </row>
    <row r="60" spans="3:7" x14ac:dyDescent="0.3">
      <c r="C60" s="1" t="s">
        <v>18</v>
      </c>
      <c r="D60" s="2">
        <f>SUM(D48:D51)*5.2%</f>
        <v>3359.4860000000003</v>
      </c>
      <c r="E60" s="2">
        <f>D60</f>
        <v>3359.4860000000003</v>
      </c>
      <c r="F60" s="2"/>
      <c r="G60" s="2">
        <f t="shared" si="2"/>
        <v>0</v>
      </c>
    </row>
    <row r="61" spans="3:7" x14ac:dyDescent="0.3">
      <c r="C61" s="1" t="s">
        <v>19</v>
      </c>
      <c r="D61" s="2">
        <f>C41*60</f>
        <v>9420</v>
      </c>
      <c r="E61" s="2"/>
      <c r="F61" s="2">
        <f>D61</f>
        <v>9420</v>
      </c>
      <c r="G61" s="2">
        <f t="shared" si="2"/>
        <v>0</v>
      </c>
    </row>
    <row r="62" spans="3:7" x14ac:dyDescent="0.3">
      <c r="C62" s="1" t="s">
        <v>20</v>
      </c>
      <c r="D62" s="2">
        <f>+F41*275</f>
        <v>20086</v>
      </c>
      <c r="E62" s="2"/>
      <c r="F62" s="2">
        <f>D62</f>
        <v>20086</v>
      </c>
      <c r="G62" s="2">
        <f t="shared" si="2"/>
        <v>0</v>
      </c>
    </row>
    <row r="63" spans="3:7" x14ac:dyDescent="0.3">
      <c r="C63" s="1" t="s">
        <v>21</v>
      </c>
      <c r="D63" s="2">
        <v>3500</v>
      </c>
      <c r="E63" s="2">
        <v>2640</v>
      </c>
      <c r="F63" s="2">
        <f>+D63*0.2</f>
        <v>700</v>
      </c>
      <c r="G63" s="2">
        <f t="shared" si="2"/>
        <v>160</v>
      </c>
    </row>
    <row r="64" spans="3:7" x14ac:dyDescent="0.3">
      <c r="C64" s="1" t="s">
        <v>22</v>
      </c>
      <c r="D64" s="2">
        <f>SUM(D48:D51)*10%</f>
        <v>6460.55</v>
      </c>
      <c r="E64" s="2">
        <f>F41*30-E49</f>
        <v>0</v>
      </c>
      <c r="F64" s="2"/>
      <c r="G64" s="2">
        <f t="shared" si="2"/>
        <v>6460.55</v>
      </c>
    </row>
    <row r="65" spans="3:7" x14ac:dyDescent="0.3">
      <c r="C65" s="1" t="s">
        <v>130</v>
      </c>
      <c r="D65" s="2">
        <f>SUM(D48:D51)*10%</f>
        <v>6460.55</v>
      </c>
      <c r="E65" s="2"/>
      <c r="F65" s="2"/>
      <c r="G65" s="2">
        <f>D65-E65-F65</f>
        <v>6460.55</v>
      </c>
    </row>
    <row r="66" spans="3:7" x14ac:dyDescent="0.3">
      <c r="D66" s="2">
        <f>SUM(D48:D65)</f>
        <v>152632.88199999998</v>
      </c>
      <c r="E66" s="2">
        <f>SUM(E48:E65)</f>
        <v>44805.932000000001</v>
      </c>
      <c r="F66" s="2">
        <f>SUM(F48:F65)</f>
        <v>30206</v>
      </c>
      <c r="G66" s="2">
        <f>SUM(G48:G65)</f>
        <v>77620.950000000012</v>
      </c>
    </row>
    <row r="67" spans="3:7" x14ac:dyDescent="0.3">
      <c r="D67" s="2"/>
      <c r="E67" s="2"/>
      <c r="F67" s="2"/>
      <c r="G67" s="2"/>
    </row>
    <row r="69" spans="3:7" x14ac:dyDescent="0.3">
      <c r="C69" s="1" t="s">
        <v>23</v>
      </c>
    </row>
    <row r="70" spans="3:7" x14ac:dyDescent="0.3">
      <c r="C70" s="1" t="s">
        <v>95</v>
      </c>
      <c r="E70" s="2">
        <f>F41*50</f>
        <v>3652.0000000000005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G78"/>
  <sheetViews>
    <sheetView topLeftCell="A49" workbookViewId="0">
      <selection activeCell="C71" sqref="C7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8.28515625" style="1" customWidth="1"/>
    <col min="4" max="4" width="15.140625" style="1" bestFit="1" customWidth="1"/>
    <col min="5" max="6" width="11.5703125" style="1" bestFit="1" customWidth="1"/>
    <col min="7" max="7" width="13.28515625" style="1" customWidth="1"/>
    <col min="8" max="16384" width="11.42578125" style="1"/>
  </cols>
  <sheetData>
    <row r="1" spans="2:7" x14ac:dyDescent="0.3">
      <c r="B1" s="1" t="s">
        <v>0</v>
      </c>
      <c r="C1" s="1" t="s">
        <v>30</v>
      </c>
      <c r="D1" s="89">
        <f>+'Tab-2018'!B46</f>
        <v>0</v>
      </c>
      <c r="F1" s="1" t="s">
        <v>184</v>
      </c>
    </row>
    <row r="2" spans="2:7" x14ac:dyDescent="0.3">
      <c r="B2" s="1" t="s">
        <v>1</v>
      </c>
      <c r="C2" s="2">
        <f>+'Tab-2018'!I19</f>
        <v>179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(((C2*366)+D10+D11+D12+D19+D20)/366)+60.73</f>
        <v>282.89196721311475</v>
      </c>
    </row>
    <row r="4" spans="2:7" x14ac:dyDescent="0.3">
      <c r="B4" s="1" t="s">
        <v>2</v>
      </c>
    </row>
    <row r="5" spans="2:7" x14ac:dyDescent="0.3">
      <c r="B5" s="1" t="s">
        <v>26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(C2*366)-(C4*C2)-(C5*C2)</f>
        <v>65514</v>
      </c>
      <c r="E9" s="2"/>
      <c r="F9" s="2"/>
      <c r="G9" s="2">
        <f>D9-E9-F9</f>
        <v>65514</v>
      </c>
    </row>
    <row r="10" spans="2:7" x14ac:dyDescent="0.3">
      <c r="C10" s="1" t="s">
        <v>9</v>
      </c>
      <c r="D10" s="2">
        <f>C2*30</f>
        <v>5370</v>
      </c>
      <c r="E10" s="2">
        <f>F2*30</f>
        <v>2418</v>
      </c>
      <c r="F10" s="2"/>
      <c r="G10" s="2">
        <f t="shared" ref="G10:G25" si="0">D10-E10-F10</f>
        <v>2952</v>
      </c>
    </row>
    <row r="11" spans="2:7" x14ac:dyDescent="0.3">
      <c r="C11" s="1" t="s">
        <v>10</v>
      </c>
      <c r="D11" s="2">
        <f>C2*8*0.25</f>
        <v>358</v>
      </c>
      <c r="E11" s="2">
        <f>D11</f>
        <v>358</v>
      </c>
      <c r="F11" s="2"/>
      <c r="G11" s="2">
        <f>D11-E11-F11</f>
        <v>0</v>
      </c>
    </row>
    <row r="12" spans="2:7" x14ac:dyDescent="0.3">
      <c r="C12" s="1" t="s">
        <v>11</v>
      </c>
      <c r="D12" s="2">
        <f>193.64*52</f>
        <v>10069.279999999999</v>
      </c>
      <c r="E12" s="2">
        <f>F2*52</f>
        <v>4191.2</v>
      </c>
      <c r="F12" s="2"/>
      <c r="G12" s="2">
        <f t="shared" si="0"/>
        <v>5878.079999999999</v>
      </c>
    </row>
    <row r="13" spans="2:7" x14ac:dyDescent="0.3">
      <c r="C13" s="1" t="s">
        <v>12</v>
      </c>
      <c r="D13" s="2">
        <f>(C2/8)*270</f>
        <v>6041.25</v>
      </c>
      <c r="E13" s="2">
        <f>D13*50%</f>
        <v>3020.625</v>
      </c>
      <c r="F13" s="2"/>
      <c r="G13" s="2">
        <f t="shared" si="0"/>
        <v>3020.625</v>
      </c>
    </row>
    <row r="14" spans="2:7" x14ac:dyDescent="0.3">
      <c r="C14" s="1" t="s">
        <v>13</v>
      </c>
      <c r="D14" s="2">
        <v>1120</v>
      </c>
      <c r="E14" s="2">
        <f>F2*15</f>
        <v>1209</v>
      </c>
      <c r="F14" s="2"/>
      <c r="G14" s="2">
        <f t="shared" si="0"/>
        <v>-89</v>
      </c>
    </row>
    <row r="15" spans="2:7" x14ac:dyDescent="0.3">
      <c r="C15" s="1" t="s">
        <v>14</v>
      </c>
      <c r="D15" s="2">
        <f>SUM(D9:D12)*10%</f>
        <v>8131.1280000000006</v>
      </c>
      <c r="E15" s="2">
        <f>SUM(D9:D12)*10%</f>
        <v>8131.1280000000006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4065.5640000000003</v>
      </c>
      <c r="E16" s="2">
        <f>+D16</f>
        <v>4065.5640000000003</v>
      </c>
      <c r="F16" s="2"/>
      <c r="G16" s="2">
        <f t="shared" si="0"/>
        <v>0</v>
      </c>
    </row>
    <row r="17" spans="3:7" x14ac:dyDescent="0.3">
      <c r="C17" s="1" t="s">
        <v>15</v>
      </c>
      <c r="D17" s="2">
        <f>C2*30</f>
        <v>5370</v>
      </c>
      <c r="E17" s="2">
        <f>D17</f>
        <v>5370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D18</f>
        <v>11799.84</v>
      </c>
      <c r="F18" s="2"/>
      <c r="G18" s="2">
        <f t="shared" si="0"/>
        <v>0</v>
      </c>
    </row>
    <row r="19" spans="3:7" x14ac:dyDescent="0.3">
      <c r="C19" s="1" t="s">
        <v>178</v>
      </c>
      <c r="D19" s="2">
        <f>+'Tab-2018'!U46</f>
        <v>0</v>
      </c>
      <c r="E19" s="2"/>
      <c r="F19" s="2"/>
      <c r="G19" s="2">
        <f t="shared" si="0"/>
        <v>0</v>
      </c>
    </row>
    <row r="20" spans="3:7" x14ac:dyDescent="0.3">
      <c r="C20" s="1" t="s">
        <v>179</v>
      </c>
      <c r="D20" s="2">
        <f>+'Tab-2018'!V46</f>
        <v>0</v>
      </c>
      <c r="E20" s="2"/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4228.1865600000001</v>
      </c>
      <c r="E21" s="2">
        <f>D21</f>
        <v>4228.1865600000001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10740</v>
      </c>
      <c r="E22" s="2"/>
      <c r="F22" s="2">
        <f>D22</f>
        <v>10740</v>
      </c>
      <c r="G22" s="2">
        <f t="shared" si="0"/>
        <v>0</v>
      </c>
    </row>
    <row r="23" spans="3:7" x14ac:dyDescent="0.3">
      <c r="C23" s="1" t="s">
        <v>20</v>
      </c>
      <c r="D23" s="2">
        <f>+F2*255</f>
        <v>20553</v>
      </c>
      <c r="E23" s="2"/>
      <c r="F23" s="2">
        <f>D23</f>
        <v>20553</v>
      </c>
      <c r="G23" s="2">
        <f t="shared" si="0"/>
        <v>0</v>
      </c>
    </row>
    <row r="24" spans="3:7" x14ac:dyDescent="0.3">
      <c r="C24" s="1" t="s">
        <v>21</v>
      </c>
      <c r="D24" s="2">
        <v>2750</v>
      </c>
      <c r="E24" s="2">
        <v>1640</v>
      </c>
      <c r="F24" s="2">
        <f>+D24*0.2</f>
        <v>550</v>
      </c>
      <c r="G24" s="2">
        <f t="shared" si="0"/>
        <v>560</v>
      </c>
    </row>
    <row r="25" spans="3:7" x14ac:dyDescent="0.3">
      <c r="C25" s="1" t="s">
        <v>22</v>
      </c>
      <c r="D25" s="2">
        <f>SUM(D9:D12)*10%</f>
        <v>8131.1280000000006</v>
      </c>
      <c r="E25" s="2">
        <f>F2*30-E10</f>
        <v>0</v>
      </c>
      <c r="F25" s="2"/>
      <c r="G25" s="2">
        <f t="shared" si="0"/>
        <v>8131.1280000000006</v>
      </c>
    </row>
    <row r="26" spans="3:7" x14ac:dyDescent="0.3">
      <c r="C26" s="1" t="s">
        <v>130</v>
      </c>
      <c r="D26" s="2">
        <f>SUM(D9:D12)*10%</f>
        <v>8131.1280000000006</v>
      </c>
      <c r="E26" s="2"/>
      <c r="F26" s="2"/>
      <c r="G26" s="2">
        <f>D26-E26-F26</f>
        <v>8131.1280000000006</v>
      </c>
    </row>
    <row r="27" spans="3:7" x14ac:dyDescent="0.3">
      <c r="D27" s="2">
        <f>SUM(D9:D26)</f>
        <v>172372.50455999997</v>
      </c>
      <c r="E27" s="2">
        <f>SUM(E9:E26)</f>
        <v>46431.543560000006</v>
      </c>
      <c r="F27" s="2">
        <f>SUM(F9:F26)</f>
        <v>31843</v>
      </c>
      <c r="G27" s="2">
        <f>SUM(G9:G26)</f>
        <v>94097.960999999996</v>
      </c>
    </row>
    <row r="29" spans="3:7" x14ac:dyDescent="0.3">
      <c r="C29" s="1" t="s">
        <v>135</v>
      </c>
    </row>
    <row r="30" spans="3:7" x14ac:dyDescent="0.3">
      <c r="D30" s="2">
        <f>F2*366</f>
        <v>29499.599999999999</v>
      </c>
      <c r="E30" s="1" t="s">
        <v>87</v>
      </c>
    </row>
    <row r="31" spans="3:7" x14ac:dyDescent="0.3">
      <c r="C31" s="1" t="s">
        <v>196</v>
      </c>
      <c r="E31" s="1" t="s">
        <v>86</v>
      </c>
    </row>
    <row r="33" spans="2:7" x14ac:dyDescent="0.3">
      <c r="C33" s="1" t="s">
        <v>96</v>
      </c>
    </row>
    <row r="34" spans="2:7" x14ac:dyDescent="0.3">
      <c r="C34" s="1" t="s">
        <v>88</v>
      </c>
      <c r="D34" s="30">
        <f>F2*366*1.3</f>
        <v>38349.479999999996</v>
      </c>
      <c r="E34" s="1" t="s">
        <v>136</v>
      </c>
    </row>
    <row r="36" spans="2:7" x14ac:dyDescent="0.3">
      <c r="C36" s="1" t="s">
        <v>90</v>
      </c>
    </row>
    <row r="38" spans="2:7" x14ac:dyDescent="0.3">
      <c r="C38" s="1" t="s">
        <v>91</v>
      </c>
    </row>
    <row r="39" spans="2:7" x14ac:dyDescent="0.3">
      <c r="C39" s="1" t="s">
        <v>100</v>
      </c>
    </row>
    <row r="40" spans="2:7" x14ac:dyDescent="0.3">
      <c r="B40" s="1" t="s">
        <v>0</v>
      </c>
      <c r="C40" s="1" t="s">
        <v>30</v>
      </c>
      <c r="D40" s="89">
        <f>+'Tab-2018'!B85</f>
        <v>0</v>
      </c>
      <c r="F40" s="1" t="s">
        <v>184</v>
      </c>
    </row>
    <row r="41" spans="2:7" x14ac:dyDescent="0.3">
      <c r="B41" s="1" t="s">
        <v>1</v>
      </c>
      <c r="C41" s="2">
        <f>+'Tab-2018'!I20</f>
        <v>250</v>
      </c>
      <c r="E41" s="1" t="s">
        <v>194</v>
      </c>
      <c r="F41" s="33">
        <f>+Eleuterio!F41</f>
        <v>73.040000000000006</v>
      </c>
    </row>
    <row r="42" spans="2:7" x14ac:dyDescent="0.3">
      <c r="B42" s="1" t="s">
        <v>104</v>
      </c>
      <c r="C42" s="2">
        <f>(((C41*366)+D49+D50+D51+D58+D59)/366)+60.73</f>
        <v>360.09961748633879</v>
      </c>
    </row>
    <row r="43" spans="2:7" x14ac:dyDescent="0.3">
      <c r="B43" s="1" t="s">
        <v>2</v>
      </c>
    </row>
    <row r="44" spans="2:7" x14ac:dyDescent="0.3">
      <c r="B44" s="1" t="s">
        <v>26</v>
      </c>
    </row>
    <row r="46" spans="2:7" ht="16.5" x14ac:dyDescent="0.35"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</row>
    <row r="48" spans="2:7" x14ac:dyDescent="0.3">
      <c r="C48" s="1" t="s">
        <v>8</v>
      </c>
      <c r="D48" s="2">
        <f>(C41*366)-(C43*C41)-(C44*C41)</f>
        <v>91500</v>
      </c>
      <c r="E48" s="2"/>
      <c r="F48" s="2"/>
      <c r="G48" s="2">
        <f>D48-E48-F48</f>
        <v>91500</v>
      </c>
    </row>
    <row r="49" spans="3:7" x14ac:dyDescent="0.3">
      <c r="C49" s="1" t="s">
        <v>9</v>
      </c>
      <c r="D49" s="2">
        <f>C41*30</f>
        <v>7500</v>
      </c>
      <c r="E49" s="2">
        <f>F41*30</f>
        <v>2191.2000000000003</v>
      </c>
      <c r="F49" s="2"/>
      <c r="G49" s="2">
        <f t="shared" ref="G49" si="1">D49-E49-F49</f>
        <v>5308.7999999999993</v>
      </c>
    </row>
    <row r="50" spans="3:7" x14ac:dyDescent="0.3">
      <c r="C50" s="1" t="s">
        <v>10</v>
      </c>
      <c r="D50" s="2">
        <f>C41*8*0.25</f>
        <v>500</v>
      </c>
      <c r="E50" s="2">
        <f>D50</f>
        <v>500</v>
      </c>
      <c r="F50" s="2"/>
      <c r="G50" s="2">
        <f>D50-E50-F50</f>
        <v>0</v>
      </c>
    </row>
    <row r="51" spans="3:7" x14ac:dyDescent="0.3">
      <c r="C51" s="1" t="s">
        <v>11</v>
      </c>
      <c r="D51" s="2">
        <f>193.64*52</f>
        <v>10069.279999999999</v>
      </c>
      <c r="E51" s="2">
        <f>F41*52</f>
        <v>3798.0800000000004</v>
      </c>
      <c r="F51" s="2"/>
      <c r="G51" s="2">
        <f t="shared" ref="G51:G64" si="2">D51-E51-F51</f>
        <v>6271.1999999999989</v>
      </c>
    </row>
    <row r="52" spans="3:7" x14ac:dyDescent="0.3">
      <c r="C52" s="1" t="s">
        <v>12</v>
      </c>
      <c r="D52" s="2">
        <f>(C41/8)*270</f>
        <v>8437.5</v>
      </c>
      <c r="E52" s="2">
        <f>D52*50%</f>
        <v>4218.75</v>
      </c>
      <c r="F52" s="2"/>
      <c r="G52" s="2">
        <f t="shared" si="2"/>
        <v>4218.75</v>
      </c>
    </row>
    <row r="53" spans="3:7" x14ac:dyDescent="0.3">
      <c r="C53" s="1" t="s">
        <v>13</v>
      </c>
      <c r="D53" s="2">
        <v>1120</v>
      </c>
      <c r="E53" s="2">
        <f>F41*15</f>
        <v>1095.6000000000001</v>
      </c>
      <c r="F53" s="2"/>
      <c r="G53" s="2">
        <f t="shared" si="2"/>
        <v>24.399999999999864</v>
      </c>
    </row>
    <row r="54" spans="3:7" x14ac:dyDescent="0.3">
      <c r="C54" s="1" t="s">
        <v>14</v>
      </c>
      <c r="D54" s="2">
        <f>SUM(D48:D51)*10%</f>
        <v>10956.928</v>
      </c>
      <c r="E54" s="2">
        <f>SUM(D48:D51)*10%</f>
        <v>10956.928</v>
      </c>
      <c r="F54" s="2"/>
      <c r="G54" s="2">
        <f t="shared" si="2"/>
        <v>0</v>
      </c>
    </row>
    <row r="55" spans="3:7" x14ac:dyDescent="0.3">
      <c r="C55" s="1" t="s">
        <v>101</v>
      </c>
      <c r="D55" s="2">
        <f>SUM(D48:D51)*5%</f>
        <v>5478.4639999999999</v>
      </c>
      <c r="E55" s="2">
        <f>+D55</f>
        <v>5478.4639999999999</v>
      </c>
      <c r="F55" s="2"/>
      <c r="G55" s="2">
        <f t="shared" si="2"/>
        <v>0</v>
      </c>
    </row>
    <row r="56" spans="3:7" x14ac:dyDescent="0.3">
      <c r="C56" s="1" t="s">
        <v>15</v>
      </c>
      <c r="D56" s="2">
        <f>C41*30</f>
        <v>7500</v>
      </c>
      <c r="E56" s="2">
        <f>D56</f>
        <v>7500</v>
      </c>
      <c r="F56" s="2"/>
      <c r="G56" s="2">
        <f t="shared" si="2"/>
        <v>0</v>
      </c>
    </row>
    <row r="57" spans="3:7" x14ac:dyDescent="0.3">
      <c r="C57" s="1" t="s">
        <v>16</v>
      </c>
      <c r="D57" s="2">
        <f>F41*366*40%</f>
        <v>10693.056000000002</v>
      </c>
      <c r="E57" s="2">
        <f>D57</f>
        <v>10693.056000000002</v>
      </c>
      <c r="F57" s="2"/>
      <c r="G57" s="2">
        <f t="shared" si="2"/>
        <v>0</v>
      </c>
    </row>
    <row r="58" spans="3:7" x14ac:dyDescent="0.3">
      <c r="C58" s="1" t="s">
        <v>178</v>
      </c>
      <c r="D58" s="2">
        <f>+'Tab-2018'!U85</f>
        <v>0</v>
      </c>
      <c r="E58" s="2"/>
      <c r="F58" s="2"/>
      <c r="G58" s="2">
        <f t="shared" si="2"/>
        <v>0</v>
      </c>
    </row>
    <row r="59" spans="3:7" x14ac:dyDescent="0.3">
      <c r="C59" s="1" t="s">
        <v>179</v>
      </c>
      <c r="D59" s="2">
        <f>+'Tab-2018'!V85</f>
        <v>0</v>
      </c>
      <c r="E59" s="2"/>
      <c r="F59" s="2"/>
      <c r="G59" s="2">
        <f t="shared" si="2"/>
        <v>0</v>
      </c>
    </row>
    <row r="60" spans="3:7" x14ac:dyDescent="0.3">
      <c r="C60" s="1" t="s">
        <v>18</v>
      </c>
      <c r="D60" s="2">
        <f>SUM(D48:D51)*5.2%</f>
        <v>5697.6025600000003</v>
      </c>
      <c r="E60" s="2">
        <f>D60</f>
        <v>5697.6025600000003</v>
      </c>
      <c r="F60" s="2"/>
      <c r="G60" s="2">
        <f t="shared" si="2"/>
        <v>0</v>
      </c>
    </row>
    <row r="61" spans="3:7" x14ac:dyDescent="0.3">
      <c r="C61" s="1" t="s">
        <v>19</v>
      </c>
      <c r="D61" s="2">
        <f>C41*60</f>
        <v>15000</v>
      </c>
      <c r="E61" s="2"/>
      <c r="F61" s="2">
        <f>D61</f>
        <v>15000</v>
      </c>
      <c r="G61" s="2">
        <f t="shared" si="2"/>
        <v>0</v>
      </c>
    </row>
    <row r="62" spans="3:7" x14ac:dyDescent="0.3">
      <c r="C62" s="1" t="s">
        <v>20</v>
      </c>
      <c r="D62" s="2">
        <f>+F41*255</f>
        <v>18625.2</v>
      </c>
      <c r="E62" s="2"/>
      <c r="F62" s="2">
        <f>D62</f>
        <v>18625.2</v>
      </c>
      <c r="G62" s="2">
        <f t="shared" si="2"/>
        <v>0</v>
      </c>
    </row>
    <row r="63" spans="3:7" x14ac:dyDescent="0.3">
      <c r="C63" s="1" t="s">
        <v>21</v>
      </c>
      <c r="D63" s="2">
        <v>2750</v>
      </c>
      <c r="E63" s="2">
        <v>1640</v>
      </c>
      <c r="F63" s="2">
        <f>+D63*0.2</f>
        <v>550</v>
      </c>
      <c r="G63" s="2">
        <f t="shared" si="2"/>
        <v>560</v>
      </c>
    </row>
    <row r="64" spans="3:7" x14ac:dyDescent="0.3">
      <c r="C64" s="1" t="s">
        <v>22</v>
      </c>
      <c r="D64" s="2">
        <f>SUM(D48:D51)*10%</f>
        <v>10956.928</v>
      </c>
      <c r="E64" s="2">
        <f>F41*30-E49</f>
        <v>0</v>
      </c>
      <c r="F64" s="2"/>
      <c r="G64" s="2">
        <f t="shared" si="2"/>
        <v>10956.928</v>
      </c>
    </row>
    <row r="65" spans="3:7" x14ac:dyDescent="0.3">
      <c r="C65" s="1" t="s">
        <v>130</v>
      </c>
      <c r="D65" s="2">
        <f>SUM(D48:D51)*10%</f>
        <v>10956.928</v>
      </c>
      <c r="E65" s="2"/>
      <c r="F65" s="2"/>
      <c r="G65" s="2">
        <f>D65-E65-F65</f>
        <v>10956.928</v>
      </c>
    </row>
    <row r="66" spans="3:7" x14ac:dyDescent="0.3">
      <c r="D66" s="2">
        <f>SUM(D48:D65)</f>
        <v>217741.88656000001</v>
      </c>
      <c r="E66" s="2">
        <f>SUM(E48:E65)</f>
        <v>53769.680560000001</v>
      </c>
      <c r="F66" s="2">
        <f>SUM(F48:F65)</f>
        <v>34175.199999999997</v>
      </c>
      <c r="G66" s="2">
        <f>SUM(G48:G65)</f>
        <v>129797.00599999999</v>
      </c>
    </row>
    <row r="68" spans="3:7" x14ac:dyDescent="0.3">
      <c r="C68" s="1" t="s">
        <v>135</v>
      </c>
    </row>
    <row r="69" spans="3:7" x14ac:dyDescent="0.3">
      <c r="D69" s="2">
        <f>F41*366</f>
        <v>26732.640000000003</v>
      </c>
      <c r="E69" s="1" t="s">
        <v>87</v>
      </c>
    </row>
    <row r="70" spans="3:7" x14ac:dyDescent="0.3">
      <c r="C70" s="1" t="s">
        <v>196</v>
      </c>
      <c r="E70" s="1" t="s">
        <v>86</v>
      </c>
    </row>
    <row r="72" spans="3:7" x14ac:dyDescent="0.3">
      <c r="C72" s="1" t="s">
        <v>96</v>
      </c>
    </row>
    <row r="73" spans="3:7" x14ac:dyDescent="0.3">
      <c r="C73" s="1" t="s">
        <v>88</v>
      </c>
      <c r="D73" s="30">
        <f>F41*366*1.3</f>
        <v>34752.432000000008</v>
      </c>
      <c r="E73" s="1" t="s">
        <v>136</v>
      </c>
    </row>
    <row r="75" spans="3:7" x14ac:dyDescent="0.3">
      <c r="C75" s="1" t="s">
        <v>90</v>
      </c>
    </row>
    <row r="77" spans="3:7" x14ac:dyDescent="0.3">
      <c r="C77" s="1" t="s">
        <v>91</v>
      </c>
    </row>
    <row r="78" spans="3:7" x14ac:dyDescent="0.3">
      <c r="C78" s="1" t="s">
        <v>100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G120"/>
  <sheetViews>
    <sheetView workbookViewId="0">
      <selection activeCell="C21" sqref="C21"/>
    </sheetView>
  </sheetViews>
  <sheetFormatPr defaultColWidth="11.42578125" defaultRowHeight="15" x14ac:dyDescent="0.3"/>
  <cols>
    <col min="1" max="1" width="6.42578125" style="1" customWidth="1"/>
    <col min="2" max="2" width="11.42578125" style="1"/>
    <col min="3" max="3" width="19.28515625" style="1" customWidth="1"/>
    <col min="4" max="4" width="15.7109375" style="1" customWidth="1"/>
    <col min="5" max="5" width="13.42578125" style="1" customWidth="1"/>
    <col min="6" max="6" width="13.140625" style="1" customWidth="1"/>
    <col min="7" max="7" width="13.85546875" style="1" customWidth="1"/>
    <col min="8" max="16384" width="11.42578125" style="1"/>
  </cols>
  <sheetData>
    <row r="1" spans="2:7" x14ac:dyDescent="0.3">
      <c r="B1" s="1" t="s">
        <v>0</v>
      </c>
      <c r="C1" s="1" t="s">
        <v>93</v>
      </c>
      <c r="D1" s="89">
        <f>+'Tab-2018'!B47</f>
        <v>0</v>
      </c>
      <c r="E1" s="1" t="s">
        <v>184</v>
      </c>
    </row>
    <row r="2" spans="2:7" x14ac:dyDescent="0.3">
      <c r="B2" s="1" t="s">
        <v>1</v>
      </c>
      <c r="C2" s="2">
        <f>+'Tab-2018'!I21</f>
        <v>300</v>
      </c>
      <c r="E2" s="1" t="s">
        <v>194</v>
      </c>
      <c r="F2" s="33">
        <f>+Eleuterio!F2</f>
        <v>80.599999999999994</v>
      </c>
    </row>
    <row r="3" spans="2:7" x14ac:dyDescent="0.3">
      <c r="B3" s="1" t="s">
        <v>104</v>
      </c>
      <c r="C3" s="2">
        <f>((C2*366)+D10+D11+D12)/366</f>
        <v>355.54327868852459</v>
      </c>
      <c r="E3" s="1" t="s">
        <v>131</v>
      </c>
      <c r="F3" s="2">
        <f>+F2*365*7</f>
        <v>205932.99999999997</v>
      </c>
    </row>
    <row r="4" spans="2:7" x14ac:dyDescent="0.3">
      <c r="B4" s="1" t="s">
        <v>2</v>
      </c>
    </row>
    <row r="5" spans="2:7" x14ac:dyDescent="0.3">
      <c r="B5" s="1" t="s">
        <v>26</v>
      </c>
    </row>
    <row r="7" spans="2:7" ht="16.5" x14ac:dyDescent="0.35"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9" spans="2:7" x14ac:dyDescent="0.3">
      <c r="C9" s="1" t="s">
        <v>8</v>
      </c>
      <c r="D9" s="2">
        <f>(C2*366)-((C4+C5)*C2)</f>
        <v>109800</v>
      </c>
      <c r="E9" s="2"/>
      <c r="F9" s="2"/>
      <c r="G9" s="2">
        <f>D9-E9-F9</f>
        <v>109800</v>
      </c>
    </row>
    <row r="10" spans="2:7" x14ac:dyDescent="0.3">
      <c r="C10" s="1" t="s">
        <v>9</v>
      </c>
      <c r="D10" s="2">
        <f>C2*30</f>
        <v>9000</v>
      </c>
      <c r="E10" s="2">
        <f>F2*30</f>
        <v>2418</v>
      </c>
      <c r="F10" s="2"/>
      <c r="G10" s="2">
        <f t="shared" ref="G10:G25" si="0">D10-E10-F10</f>
        <v>6582</v>
      </c>
    </row>
    <row r="11" spans="2:7" x14ac:dyDescent="0.3">
      <c r="C11" s="1" t="s">
        <v>10</v>
      </c>
      <c r="D11" s="2">
        <f>C2*14*0.25</f>
        <v>1050</v>
      </c>
      <c r="E11" s="2">
        <f>+F2*15</f>
        <v>1209</v>
      </c>
      <c r="F11" s="2"/>
      <c r="G11" s="2">
        <f>D11-E11-F11</f>
        <v>-159</v>
      </c>
    </row>
    <row r="12" spans="2:7" x14ac:dyDescent="0.3">
      <c r="C12" s="1" t="s">
        <v>11</v>
      </c>
      <c r="D12" s="2">
        <f>197.67*52</f>
        <v>10278.84</v>
      </c>
      <c r="E12" s="2">
        <f>F2*52</f>
        <v>4191.2</v>
      </c>
      <c r="F12" s="2"/>
      <c r="G12" s="2">
        <f t="shared" si="0"/>
        <v>6087.64</v>
      </c>
    </row>
    <row r="13" spans="2:7" x14ac:dyDescent="0.3">
      <c r="C13" s="1" t="s">
        <v>12</v>
      </c>
      <c r="D13" s="2">
        <f>(C2/8)*270</f>
        <v>10125</v>
      </c>
      <c r="E13" s="2">
        <f>D13*50%</f>
        <v>5062.5</v>
      </c>
      <c r="F13" s="2"/>
      <c r="G13" s="2">
        <f t="shared" si="0"/>
        <v>5062.5</v>
      </c>
    </row>
    <row r="14" spans="2:7" x14ac:dyDescent="0.3">
      <c r="C14" s="1" t="s">
        <v>13</v>
      </c>
      <c r="D14" s="2">
        <v>1320</v>
      </c>
      <c r="E14" s="2">
        <f>F2*15</f>
        <v>1209</v>
      </c>
      <c r="F14" s="2"/>
      <c r="G14" s="2">
        <f t="shared" si="0"/>
        <v>111</v>
      </c>
    </row>
    <row r="15" spans="2:7" x14ac:dyDescent="0.3">
      <c r="C15" s="1" t="s">
        <v>14</v>
      </c>
      <c r="D15" s="2">
        <f>SUM(D9:D12)*10%</f>
        <v>13012.884</v>
      </c>
      <c r="E15" s="2">
        <f>SUM(D9:D12)*10%</f>
        <v>13012.884</v>
      </c>
      <c r="F15" s="2"/>
      <c r="G15" s="2">
        <f t="shared" si="0"/>
        <v>0</v>
      </c>
    </row>
    <row r="16" spans="2:7" x14ac:dyDescent="0.3">
      <c r="C16" s="1" t="s">
        <v>101</v>
      </c>
      <c r="D16" s="2">
        <f>SUM(D9:D12)*5%</f>
        <v>6506.442</v>
      </c>
      <c r="E16" s="2">
        <f>+D16</f>
        <v>6506.442</v>
      </c>
      <c r="F16" s="2"/>
      <c r="G16" s="2">
        <f t="shared" si="0"/>
        <v>0</v>
      </c>
    </row>
    <row r="17" spans="3:7" x14ac:dyDescent="0.3">
      <c r="C17" s="1" t="s">
        <v>15</v>
      </c>
      <c r="D17" s="2">
        <f>C2*20</f>
        <v>6000</v>
      </c>
      <c r="E17" s="2">
        <f>D17</f>
        <v>6000</v>
      </c>
      <c r="F17" s="2"/>
      <c r="G17" s="2">
        <f t="shared" si="0"/>
        <v>0</v>
      </c>
    </row>
    <row r="18" spans="3:7" x14ac:dyDescent="0.3">
      <c r="C18" s="1" t="s">
        <v>16</v>
      </c>
      <c r="D18" s="2">
        <f>F2*366*40%</f>
        <v>11799.84</v>
      </c>
      <c r="E18" s="2">
        <f>D18</f>
        <v>11799.84</v>
      </c>
      <c r="F18" s="2"/>
      <c r="G18" s="2">
        <f t="shared" si="0"/>
        <v>0</v>
      </c>
    </row>
    <row r="19" spans="3:7" x14ac:dyDescent="0.3">
      <c r="C19" s="1" t="s">
        <v>178</v>
      </c>
      <c r="D19" s="2">
        <f>+'Tab-2018'!U47</f>
        <v>0</v>
      </c>
      <c r="E19" s="2"/>
      <c r="F19" s="2"/>
      <c r="G19" s="2">
        <f t="shared" si="0"/>
        <v>0</v>
      </c>
    </row>
    <row r="20" spans="3:7" x14ac:dyDescent="0.3">
      <c r="C20" s="1" t="s">
        <v>179</v>
      </c>
      <c r="D20" s="2">
        <f>+'Tab-2018'!V47</f>
        <v>0</v>
      </c>
      <c r="E20" s="2"/>
      <c r="F20" s="2"/>
      <c r="G20" s="2">
        <f t="shared" si="0"/>
        <v>0</v>
      </c>
    </row>
    <row r="21" spans="3:7" x14ac:dyDescent="0.3">
      <c r="C21" s="1" t="s">
        <v>18</v>
      </c>
      <c r="D21" s="2">
        <f>SUM(D9:D12)*5.2%</f>
        <v>6766.6996800000006</v>
      </c>
      <c r="E21" s="2">
        <f>D21</f>
        <v>6766.6996800000006</v>
      </c>
      <c r="F21" s="2"/>
      <c r="G21" s="2">
        <f t="shared" si="0"/>
        <v>0</v>
      </c>
    </row>
    <row r="22" spans="3:7" x14ac:dyDescent="0.3">
      <c r="C22" s="1" t="s">
        <v>19</v>
      </c>
      <c r="D22" s="2">
        <f>C2*60</f>
        <v>18000</v>
      </c>
      <c r="E22" s="2"/>
      <c r="F22" s="2">
        <f>D22</f>
        <v>18000</v>
      </c>
      <c r="G22" s="2">
        <f t="shared" si="0"/>
        <v>0</v>
      </c>
    </row>
    <row r="23" spans="3:7" x14ac:dyDescent="0.3">
      <c r="C23" s="1" t="s">
        <v>20</v>
      </c>
      <c r="D23" s="2">
        <f>+F2*260</f>
        <v>20956</v>
      </c>
      <c r="E23" s="2"/>
      <c r="F23" s="2">
        <f>D23</f>
        <v>20956</v>
      </c>
      <c r="G23" s="2">
        <f t="shared" si="0"/>
        <v>0</v>
      </c>
    </row>
    <row r="24" spans="3:7" x14ac:dyDescent="0.3">
      <c r="C24" s="1" t="s">
        <v>21</v>
      </c>
      <c r="D24" s="2">
        <v>4250</v>
      </c>
      <c r="E24" s="2">
        <v>2640</v>
      </c>
      <c r="F24" s="2">
        <f>+D24*0.2</f>
        <v>850</v>
      </c>
      <c r="G24" s="2">
        <f t="shared" si="0"/>
        <v>760</v>
      </c>
    </row>
    <row r="25" spans="3:7" x14ac:dyDescent="0.3">
      <c r="C25" s="1" t="s">
        <v>22</v>
      </c>
      <c r="D25" s="2">
        <f>SUM(D9:D12)*10%</f>
        <v>13012.884</v>
      </c>
      <c r="E25" s="2">
        <f>F2*30-E10</f>
        <v>0</v>
      </c>
      <c r="F25" s="2"/>
      <c r="G25" s="2">
        <f t="shared" si="0"/>
        <v>13012.884</v>
      </c>
    </row>
    <row r="26" spans="3:7" x14ac:dyDescent="0.3">
      <c r="C26" s="1" t="s">
        <v>130</v>
      </c>
      <c r="D26" s="2">
        <f>SUM(D9:D12)*10%</f>
        <v>13012.884</v>
      </c>
      <c r="E26" s="2"/>
      <c r="F26" s="2"/>
      <c r="G26" s="2">
        <f>D26-E26-F26</f>
        <v>13012.884</v>
      </c>
    </row>
    <row r="27" spans="3:7" x14ac:dyDescent="0.3">
      <c r="D27" s="2">
        <f>SUM(D9:D26)</f>
        <v>254891.47367999997</v>
      </c>
      <c r="E27" s="2">
        <f>SUM(E9:E26)</f>
        <v>60815.565680000007</v>
      </c>
      <c r="F27" s="2">
        <f>SUM(F9:F26)</f>
        <v>39806</v>
      </c>
      <c r="G27" s="2">
        <f>SUM(G9:G26)</f>
        <v>154269.908</v>
      </c>
    </row>
    <row r="28" spans="3:7" x14ac:dyDescent="0.3">
      <c r="D28" s="2"/>
      <c r="E28" s="2"/>
      <c r="F28" s="2"/>
      <c r="G28" s="2"/>
    </row>
    <row r="30" spans="3:7" x14ac:dyDescent="0.3">
      <c r="C30" s="1" t="s">
        <v>135</v>
      </c>
    </row>
    <row r="31" spans="3:7" x14ac:dyDescent="0.3">
      <c r="D31" s="2">
        <f>F2*366</f>
        <v>29499.599999999999</v>
      </c>
      <c r="E31" s="1" t="s">
        <v>87</v>
      </c>
    </row>
    <row r="32" spans="3:7" x14ac:dyDescent="0.3">
      <c r="C32" s="1" t="s">
        <v>196</v>
      </c>
      <c r="E32" s="1" t="s">
        <v>86</v>
      </c>
    </row>
    <row r="34" spans="2:7" x14ac:dyDescent="0.3">
      <c r="C34" s="1" t="s">
        <v>96</v>
      </c>
    </row>
    <row r="35" spans="2:7" x14ac:dyDescent="0.3">
      <c r="C35" s="1" t="s">
        <v>88</v>
      </c>
      <c r="D35" s="30">
        <f>F2*366*1.3</f>
        <v>38349.479999999996</v>
      </c>
      <c r="E35" s="1" t="s">
        <v>136</v>
      </c>
    </row>
    <row r="37" spans="2:7" x14ac:dyDescent="0.3">
      <c r="C37" s="1" t="s">
        <v>90</v>
      </c>
    </row>
    <row r="39" spans="2:7" x14ac:dyDescent="0.3">
      <c r="C39" s="1" t="s">
        <v>91</v>
      </c>
    </row>
    <row r="40" spans="2:7" x14ac:dyDescent="0.3">
      <c r="C40" s="1" t="s">
        <v>100</v>
      </c>
    </row>
    <row r="41" spans="2:7" x14ac:dyDescent="0.3">
      <c r="B41" s="1" t="s">
        <v>0</v>
      </c>
      <c r="C41" s="1" t="s">
        <v>93</v>
      </c>
      <c r="D41" s="89">
        <f>+'Tab-2018'!B87</f>
        <v>0</v>
      </c>
      <c r="E41" s="1" t="s">
        <v>184</v>
      </c>
    </row>
    <row r="42" spans="2:7" x14ac:dyDescent="0.3">
      <c r="B42" s="1" t="s">
        <v>1</v>
      </c>
      <c r="C42" s="2">
        <f>+'Tab-2018'!I22</f>
        <v>315</v>
      </c>
      <c r="E42" s="1" t="s">
        <v>194</v>
      </c>
      <c r="F42" s="33">
        <f>+Eleuterio!F2</f>
        <v>80.599999999999994</v>
      </c>
    </row>
    <row r="43" spans="2:7" x14ac:dyDescent="0.3">
      <c r="B43" s="1" t="s">
        <v>104</v>
      </c>
      <c r="C43" s="2">
        <f>((C42*366)+D50+D51+D52)/366</f>
        <v>371.91622950819669</v>
      </c>
      <c r="E43" s="1" t="s">
        <v>131</v>
      </c>
      <c r="F43" s="2">
        <f>+F42*365*7</f>
        <v>205932.99999999997</v>
      </c>
    </row>
    <row r="44" spans="2:7" x14ac:dyDescent="0.3">
      <c r="B44" s="1" t="s">
        <v>2</v>
      </c>
    </row>
    <row r="45" spans="2:7" x14ac:dyDescent="0.3">
      <c r="B45" s="1" t="s">
        <v>26</v>
      </c>
    </row>
    <row r="47" spans="2:7" ht="16.5" x14ac:dyDescent="0.35"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</row>
    <row r="49" spans="3:7" x14ac:dyDescent="0.3">
      <c r="C49" s="1" t="s">
        <v>8</v>
      </c>
      <c r="D49" s="2">
        <f>(C42*366)-((C44+C45)*C42)</f>
        <v>115290</v>
      </c>
      <c r="E49" s="2"/>
      <c r="F49" s="2"/>
      <c r="G49" s="2">
        <f>D49-E49-F49</f>
        <v>115290</v>
      </c>
    </row>
    <row r="50" spans="3:7" x14ac:dyDescent="0.3">
      <c r="C50" s="1" t="s">
        <v>9</v>
      </c>
      <c r="D50" s="2">
        <f>C42*30</f>
        <v>9450</v>
      </c>
      <c r="E50" s="2">
        <f>F42*30</f>
        <v>2418</v>
      </c>
      <c r="F50" s="2"/>
      <c r="G50" s="2">
        <f t="shared" ref="G50" si="1">D50-E50-F50</f>
        <v>7032</v>
      </c>
    </row>
    <row r="51" spans="3:7" x14ac:dyDescent="0.3">
      <c r="C51" s="1" t="s">
        <v>10</v>
      </c>
      <c r="D51" s="2">
        <f>C42*14*0.25</f>
        <v>1102.5</v>
      </c>
      <c r="E51" s="2">
        <f>+F42*15</f>
        <v>1209</v>
      </c>
      <c r="F51" s="2"/>
      <c r="G51" s="2">
        <f>D51-E51-F51</f>
        <v>-106.5</v>
      </c>
    </row>
    <row r="52" spans="3:7" x14ac:dyDescent="0.3">
      <c r="C52" s="1" t="s">
        <v>11</v>
      </c>
      <c r="D52" s="2">
        <f>197.67*52</f>
        <v>10278.84</v>
      </c>
      <c r="E52" s="2">
        <f>F42*52</f>
        <v>4191.2</v>
      </c>
      <c r="F52" s="2"/>
      <c r="G52" s="2">
        <f t="shared" ref="G52:G65" si="2">D52-E52-F52</f>
        <v>6087.64</v>
      </c>
    </row>
    <row r="53" spans="3:7" x14ac:dyDescent="0.3">
      <c r="C53" s="1" t="s">
        <v>12</v>
      </c>
      <c r="D53" s="2">
        <f>(C42/8)*270</f>
        <v>10631.25</v>
      </c>
      <c r="E53" s="2">
        <f>D53*50%</f>
        <v>5315.625</v>
      </c>
      <c r="F53" s="2"/>
      <c r="G53" s="2">
        <f t="shared" si="2"/>
        <v>5315.625</v>
      </c>
    </row>
    <row r="54" spans="3:7" x14ac:dyDescent="0.3">
      <c r="C54" s="1" t="s">
        <v>13</v>
      </c>
      <c r="D54" s="2">
        <v>1320</v>
      </c>
      <c r="E54" s="2">
        <f>F42*15</f>
        <v>1209</v>
      </c>
      <c r="F54" s="2"/>
      <c r="G54" s="2">
        <f t="shared" si="2"/>
        <v>111</v>
      </c>
    </row>
    <row r="55" spans="3:7" x14ac:dyDescent="0.3">
      <c r="C55" s="1" t="s">
        <v>14</v>
      </c>
      <c r="D55" s="2">
        <f>SUM(D49:D52)*10%</f>
        <v>13612.134</v>
      </c>
      <c r="E55" s="2">
        <f>SUM(D49:D52)*10%</f>
        <v>13612.134</v>
      </c>
      <c r="F55" s="2"/>
      <c r="G55" s="2">
        <f t="shared" si="2"/>
        <v>0</v>
      </c>
    </row>
    <row r="56" spans="3:7" x14ac:dyDescent="0.3">
      <c r="C56" s="1" t="s">
        <v>101</v>
      </c>
      <c r="D56" s="2">
        <f>SUM(D49:D52)*5%</f>
        <v>6806.067</v>
      </c>
      <c r="E56" s="2">
        <f>+D56</f>
        <v>6806.067</v>
      </c>
      <c r="F56" s="2"/>
      <c r="G56" s="2">
        <f t="shared" si="2"/>
        <v>0</v>
      </c>
    </row>
    <row r="57" spans="3:7" x14ac:dyDescent="0.3">
      <c r="C57" s="1" t="s">
        <v>15</v>
      </c>
      <c r="D57" s="2">
        <f>C42*20</f>
        <v>6300</v>
      </c>
      <c r="E57" s="2">
        <f>D57</f>
        <v>6300</v>
      </c>
      <c r="F57" s="2"/>
      <c r="G57" s="2">
        <f t="shared" si="2"/>
        <v>0</v>
      </c>
    </row>
    <row r="58" spans="3:7" x14ac:dyDescent="0.3">
      <c r="C58" s="1" t="s">
        <v>16</v>
      </c>
      <c r="D58" s="2">
        <f>F42*366*40%</f>
        <v>11799.84</v>
      </c>
      <c r="E58" s="2">
        <f>D58</f>
        <v>11799.84</v>
      </c>
      <c r="F58" s="2"/>
      <c r="G58" s="2">
        <f t="shared" si="2"/>
        <v>0</v>
      </c>
    </row>
    <row r="59" spans="3:7" x14ac:dyDescent="0.3">
      <c r="C59" s="1" t="s">
        <v>178</v>
      </c>
      <c r="D59" s="2">
        <f>+'Tab-2018'!U87</f>
        <v>0</v>
      </c>
      <c r="E59" s="2"/>
      <c r="F59" s="2"/>
      <c r="G59" s="2">
        <f t="shared" si="2"/>
        <v>0</v>
      </c>
    </row>
    <row r="60" spans="3:7" x14ac:dyDescent="0.3">
      <c r="C60" s="1" t="s">
        <v>179</v>
      </c>
      <c r="D60" s="2">
        <f>+'Tab-2018'!V87</f>
        <v>0</v>
      </c>
      <c r="E60" s="2"/>
      <c r="F60" s="2"/>
      <c r="G60" s="2">
        <f t="shared" si="2"/>
        <v>0</v>
      </c>
    </row>
    <row r="61" spans="3:7" x14ac:dyDescent="0.3">
      <c r="C61" s="1" t="s">
        <v>18</v>
      </c>
      <c r="D61" s="2">
        <f>SUM(D49:D52)*5.2%</f>
        <v>7078.3096800000003</v>
      </c>
      <c r="E61" s="2">
        <f>D61</f>
        <v>7078.3096800000003</v>
      </c>
      <c r="F61" s="2"/>
      <c r="G61" s="2">
        <f t="shared" si="2"/>
        <v>0</v>
      </c>
    </row>
    <row r="62" spans="3:7" x14ac:dyDescent="0.3">
      <c r="C62" s="1" t="s">
        <v>19</v>
      </c>
      <c r="D62" s="2">
        <f>C42*60</f>
        <v>18900</v>
      </c>
      <c r="E62" s="2"/>
      <c r="F62" s="2">
        <f>D62</f>
        <v>18900</v>
      </c>
      <c r="G62" s="2">
        <f t="shared" si="2"/>
        <v>0</v>
      </c>
    </row>
    <row r="63" spans="3:7" x14ac:dyDescent="0.3">
      <c r="C63" s="1" t="s">
        <v>20</v>
      </c>
      <c r="D63" s="2">
        <f>+F42*260</f>
        <v>20956</v>
      </c>
      <c r="E63" s="2"/>
      <c r="F63" s="2">
        <f>D63</f>
        <v>20956</v>
      </c>
      <c r="G63" s="2">
        <f t="shared" si="2"/>
        <v>0</v>
      </c>
    </row>
    <row r="64" spans="3:7" x14ac:dyDescent="0.3">
      <c r="C64" s="1" t="s">
        <v>21</v>
      </c>
      <c r="D64" s="2">
        <v>4250</v>
      </c>
      <c r="E64" s="2">
        <v>2640</v>
      </c>
      <c r="F64" s="2">
        <f>+D64*0.2</f>
        <v>850</v>
      </c>
      <c r="G64" s="2">
        <f t="shared" si="2"/>
        <v>760</v>
      </c>
    </row>
    <row r="65" spans="3:7" x14ac:dyDescent="0.3">
      <c r="C65" s="1" t="s">
        <v>22</v>
      </c>
      <c r="D65" s="2">
        <f>SUM(D49:D52)*10%</f>
        <v>13612.134</v>
      </c>
      <c r="E65" s="2">
        <f>F42*30-E50</f>
        <v>0</v>
      </c>
      <c r="F65" s="2"/>
      <c r="G65" s="2">
        <f t="shared" si="2"/>
        <v>13612.134</v>
      </c>
    </row>
    <row r="66" spans="3:7" x14ac:dyDescent="0.3">
      <c r="C66" s="1" t="s">
        <v>130</v>
      </c>
      <c r="D66" s="2">
        <f>SUM(D49:D52)*10%</f>
        <v>13612.134</v>
      </c>
      <c r="E66" s="2"/>
      <c r="F66" s="2"/>
      <c r="G66" s="2">
        <f>D66-E66-F66</f>
        <v>13612.134</v>
      </c>
    </row>
    <row r="67" spans="3:7" x14ac:dyDescent="0.3">
      <c r="D67" s="2">
        <f>SUM(D49:D66)</f>
        <v>264999.20867999998</v>
      </c>
      <c r="E67" s="2">
        <f>SUM(E49:E66)</f>
        <v>62579.175680000008</v>
      </c>
      <c r="F67" s="2">
        <f>SUM(F49:F66)</f>
        <v>40706</v>
      </c>
      <c r="G67" s="2">
        <f>SUM(G49:G66)</f>
        <v>161714.033</v>
      </c>
    </row>
    <row r="68" spans="3:7" x14ac:dyDescent="0.3">
      <c r="D68" s="2"/>
      <c r="E68" s="2"/>
      <c r="F68" s="2"/>
      <c r="G68" s="2"/>
    </row>
    <row r="70" spans="3:7" x14ac:dyDescent="0.3">
      <c r="C70" s="1" t="s">
        <v>135</v>
      </c>
    </row>
    <row r="71" spans="3:7" x14ac:dyDescent="0.3">
      <c r="D71" s="2">
        <f>F42*366</f>
        <v>29499.599999999999</v>
      </c>
      <c r="E71" s="1" t="s">
        <v>87</v>
      </c>
    </row>
    <row r="72" spans="3:7" x14ac:dyDescent="0.3">
      <c r="C72" s="1" t="s">
        <v>196</v>
      </c>
      <c r="E72" s="1" t="s">
        <v>86</v>
      </c>
    </row>
    <row r="74" spans="3:7" x14ac:dyDescent="0.3">
      <c r="C74" s="1" t="s">
        <v>96</v>
      </c>
    </row>
    <row r="75" spans="3:7" x14ac:dyDescent="0.3">
      <c r="C75" s="1" t="s">
        <v>88</v>
      </c>
      <c r="D75" s="30">
        <f>F42*366*1.3</f>
        <v>38349.479999999996</v>
      </c>
      <c r="E75" s="1" t="s">
        <v>136</v>
      </c>
    </row>
    <row r="77" spans="3:7" x14ac:dyDescent="0.3">
      <c r="C77" s="1" t="s">
        <v>90</v>
      </c>
    </row>
    <row r="79" spans="3:7" x14ac:dyDescent="0.3">
      <c r="C79" s="1" t="s">
        <v>91</v>
      </c>
    </row>
    <row r="80" spans="3:7" x14ac:dyDescent="0.3">
      <c r="C80" s="1" t="s">
        <v>100</v>
      </c>
    </row>
    <row r="81" spans="2:7" x14ac:dyDescent="0.3">
      <c r="B81" s="1" t="s">
        <v>0</v>
      </c>
      <c r="C81" s="1" t="s">
        <v>93</v>
      </c>
      <c r="D81" s="89">
        <f>+'Tab-2018'!B127</f>
        <v>0</v>
      </c>
      <c r="E81" s="1" t="s">
        <v>184</v>
      </c>
    </row>
    <row r="82" spans="2:7" x14ac:dyDescent="0.3">
      <c r="B82" s="1" t="s">
        <v>1</v>
      </c>
      <c r="C82" s="2">
        <f>+'Tab-2018'!I23</f>
        <v>330</v>
      </c>
      <c r="E82" s="1" t="s">
        <v>194</v>
      </c>
      <c r="F82" s="33">
        <f>+Eleuterio!F2</f>
        <v>80.599999999999994</v>
      </c>
    </row>
    <row r="83" spans="2:7" x14ac:dyDescent="0.3">
      <c r="B83" s="1" t="s">
        <v>104</v>
      </c>
      <c r="C83" s="2">
        <f>((C82*366)+D90+D91+D92)/366</f>
        <v>388.28918032786885</v>
      </c>
      <c r="E83" s="1" t="s">
        <v>131</v>
      </c>
      <c r="F83" s="2">
        <f>+F82*365*7</f>
        <v>205932.99999999997</v>
      </c>
    </row>
    <row r="84" spans="2:7" x14ac:dyDescent="0.3">
      <c r="B84" s="1" t="s">
        <v>2</v>
      </c>
    </row>
    <row r="85" spans="2:7" x14ac:dyDescent="0.3">
      <c r="B85" s="1" t="s">
        <v>26</v>
      </c>
    </row>
    <row r="87" spans="2:7" ht="16.5" x14ac:dyDescent="0.35">
      <c r="C87" s="4" t="s">
        <v>3</v>
      </c>
      <c r="D87" s="4" t="s">
        <v>4</v>
      </c>
      <c r="E87" s="4" t="s">
        <v>5</v>
      </c>
      <c r="F87" s="4" t="s">
        <v>6</v>
      </c>
      <c r="G87" s="4" t="s">
        <v>7</v>
      </c>
    </row>
    <row r="89" spans="2:7" x14ac:dyDescent="0.3">
      <c r="C89" s="1" t="s">
        <v>8</v>
      </c>
      <c r="D89" s="2">
        <f>(C82*366)-((C84+C85)*C82)</f>
        <v>120780</v>
      </c>
      <c r="E89" s="2"/>
      <c r="F89" s="2"/>
      <c r="G89" s="2">
        <f>D89-E89-F89</f>
        <v>120780</v>
      </c>
    </row>
    <row r="90" spans="2:7" x14ac:dyDescent="0.3">
      <c r="C90" s="1" t="s">
        <v>9</v>
      </c>
      <c r="D90" s="2">
        <f>C82*30</f>
        <v>9900</v>
      </c>
      <c r="E90" s="2">
        <f>F82*30</f>
        <v>2418</v>
      </c>
      <c r="F90" s="2"/>
      <c r="G90" s="2">
        <f t="shared" ref="G90" si="3">D90-E90-F90</f>
        <v>7482</v>
      </c>
    </row>
    <row r="91" spans="2:7" x14ac:dyDescent="0.3">
      <c r="C91" s="1" t="s">
        <v>10</v>
      </c>
      <c r="D91" s="2">
        <f>C82*14*0.25</f>
        <v>1155</v>
      </c>
      <c r="E91" s="2">
        <f>+F82*15</f>
        <v>1209</v>
      </c>
      <c r="F91" s="2"/>
      <c r="G91" s="2">
        <f>D91-E91-F91</f>
        <v>-54</v>
      </c>
    </row>
    <row r="92" spans="2:7" x14ac:dyDescent="0.3">
      <c r="C92" s="1" t="s">
        <v>11</v>
      </c>
      <c r="D92" s="2">
        <f>197.67*52</f>
        <v>10278.84</v>
      </c>
      <c r="E92" s="2">
        <f>F82*52</f>
        <v>4191.2</v>
      </c>
      <c r="F92" s="2"/>
      <c r="G92" s="2">
        <f t="shared" ref="G92:G105" si="4">D92-E92-F92</f>
        <v>6087.64</v>
      </c>
    </row>
    <row r="93" spans="2:7" x14ac:dyDescent="0.3">
      <c r="C93" s="1" t="s">
        <v>12</v>
      </c>
      <c r="D93" s="2">
        <f>(C82/8)*270</f>
        <v>11137.5</v>
      </c>
      <c r="E93" s="2">
        <f>D93*50%</f>
        <v>5568.75</v>
      </c>
      <c r="F93" s="2"/>
      <c r="G93" s="2">
        <f t="shared" si="4"/>
        <v>5568.75</v>
      </c>
    </row>
    <row r="94" spans="2:7" x14ac:dyDescent="0.3">
      <c r="C94" s="1" t="s">
        <v>13</v>
      </c>
      <c r="D94" s="2">
        <v>1320</v>
      </c>
      <c r="E94" s="2">
        <f>F82*15</f>
        <v>1209</v>
      </c>
      <c r="F94" s="2"/>
      <c r="G94" s="2">
        <f t="shared" si="4"/>
        <v>111</v>
      </c>
    </row>
    <row r="95" spans="2:7" x14ac:dyDescent="0.3">
      <c r="C95" s="1" t="s">
        <v>14</v>
      </c>
      <c r="D95" s="2">
        <f>SUM(D89:D92)*10%</f>
        <v>14211.384</v>
      </c>
      <c r="E95" s="2">
        <f>SUM(D89:D92)*10%</f>
        <v>14211.384</v>
      </c>
      <c r="F95" s="2"/>
      <c r="G95" s="2">
        <f t="shared" si="4"/>
        <v>0</v>
      </c>
    </row>
    <row r="96" spans="2:7" x14ac:dyDescent="0.3">
      <c r="C96" s="1" t="s">
        <v>101</v>
      </c>
      <c r="D96" s="2">
        <f>SUM(D89:D92)*5%</f>
        <v>7105.692</v>
      </c>
      <c r="E96" s="2">
        <f>+D96</f>
        <v>7105.692</v>
      </c>
      <c r="F96" s="2"/>
      <c r="G96" s="2">
        <f t="shared" si="4"/>
        <v>0</v>
      </c>
    </row>
    <row r="97" spans="3:7" x14ac:dyDescent="0.3">
      <c r="C97" s="1" t="s">
        <v>15</v>
      </c>
      <c r="D97" s="2">
        <f>C82*20</f>
        <v>6600</v>
      </c>
      <c r="E97" s="2">
        <f>D97</f>
        <v>6600</v>
      </c>
      <c r="F97" s="2"/>
      <c r="G97" s="2">
        <f t="shared" si="4"/>
        <v>0</v>
      </c>
    </row>
    <row r="98" spans="3:7" x14ac:dyDescent="0.3">
      <c r="C98" s="1" t="s">
        <v>16</v>
      </c>
      <c r="D98" s="2">
        <f>F82*366*40%</f>
        <v>11799.84</v>
      </c>
      <c r="E98" s="2">
        <f>D98</f>
        <v>11799.84</v>
      </c>
      <c r="F98" s="2"/>
      <c r="G98" s="2">
        <f t="shared" si="4"/>
        <v>0</v>
      </c>
    </row>
    <row r="99" spans="3:7" x14ac:dyDescent="0.3">
      <c r="C99" s="1" t="s">
        <v>178</v>
      </c>
      <c r="D99" s="2">
        <f>+'Tab-2018'!U127</f>
        <v>0</v>
      </c>
      <c r="E99" s="2"/>
      <c r="F99" s="2"/>
      <c r="G99" s="2">
        <f t="shared" si="4"/>
        <v>0</v>
      </c>
    </row>
    <row r="100" spans="3:7" x14ac:dyDescent="0.3">
      <c r="C100" s="1" t="s">
        <v>179</v>
      </c>
      <c r="D100" s="2">
        <f>+'Tab-2018'!V127</f>
        <v>0</v>
      </c>
      <c r="E100" s="2"/>
      <c r="F100" s="2"/>
      <c r="G100" s="2">
        <f t="shared" si="4"/>
        <v>0</v>
      </c>
    </row>
    <row r="101" spans="3:7" x14ac:dyDescent="0.3">
      <c r="C101" s="1" t="s">
        <v>18</v>
      </c>
      <c r="D101" s="2">
        <f>SUM(D89:D92)*5.2%</f>
        <v>7389.9196800000009</v>
      </c>
      <c r="E101" s="2">
        <f>D101</f>
        <v>7389.9196800000009</v>
      </c>
      <c r="F101" s="2"/>
      <c r="G101" s="2">
        <f t="shared" si="4"/>
        <v>0</v>
      </c>
    </row>
    <row r="102" spans="3:7" x14ac:dyDescent="0.3">
      <c r="C102" s="1" t="s">
        <v>19</v>
      </c>
      <c r="D102" s="2">
        <f>C82*60</f>
        <v>19800</v>
      </c>
      <c r="E102" s="2"/>
      <c r="F102" s="2">
        <f>D102</f>
        <v>19800</v>
      </c>
      <c r="G102" s="2">
        <f t="shared" si="4"/>
        <v>0</v>
      </c>
    </row>
    <row r="103" spans="3:7" x14ac:dyDescent="0.3">
      <c r="C103" s="1" t="s">
        <v>20</v>
      </c>
      <c r="D103" s="2">
        <f>+F82*260</f>
        <v>20956</v>
      </c>
      <c r="E103" s="2"/>
      <c r="F103" s="2">
        <f>D103</f>
        <v>20956</v>
      </c>
      <c r="G103" s="2">
        <f t="shared" si="4"/>
        <v>0</v>
      </c>
    </row>
    <row r="104" spans="3:7" x14ac:dyDescent="0.3">
      <c r="C104" s="1" t="s">
        <v>21</v>
      </c>
      <c r="D104" s="2">
        <v>4250</v>
      </c>
      <c r="E104" s="2">
        <v>2640</v>
      </c>
      <c r="F104" s="2">
        <f>+D104*0.2</f>
        <v>850</v>
      </c>
      <c r="G104" s="2">
        <f t="shared" si="4"/>
        <v>760</v>
      </c>
    </row>
    <row r="105" spans="3:7" x14ac:dyDescent="0.3">
      <c r="C105" s="1" t="s">
        <v>22</v>
      </c>
      <c r="D105" s="2">
        <f>SUM(D89:D92)*10%</f>
        <v>14211.384</v>
      </c>
      <c r="E105" s="2">
        <f>F82*30-E90</f>
        <v>0</v>
      </c>
      <c r="F105" s="2"/>
      <c r="G105" s="2">
        <f t="shared" si="4"/>
        <v>14211.384</v>
      </c>
    </row>
    <row r="106" spans="3:7" x14ac:dyDescent="0.3">
      <c r="C106" s="1" t="s">
        <v>130</v>
      </c>
      <c r="D106" s="2">
        <f>SUM(D89:D92)*10%</f>
        <v>14211.384</v>
      </c>
      <c r="E106" s="2"/>
      <c r="F106" s="2"/>
      <c r="G106" s="2">
        <f>D106-E106-F106</f>
        <v>14211.384</v>
      </c>
    </row>
    <row r="107" spans="3:7" x14ac:dyDescent="0.3">
      <c r="D107" s="2">
        <f>SUM(D89:D106)</f>
        <v>275106.94367999997</v>
      </c>
      <c r="E107" s="2">
        <f>SUM(E89:E106)</f>
        <v>64342.785680000008</v>
      </c>
      <c r="F107" s="2">
        <f>SUM(F89:F106)</f>
        <v>41606</v>
      </c>
      <c r="G107" s="2">
        <f>SUM(G89:G106)</f>
        <v>169158.158</v>
      </c>
    </row>
    <row r="108" spans="3:7" x14ac:dyDescent="0.3">
      <c r="D108" s="2"/>
      <c r="E108" s="2"/>
      <c r="F108" s="2"/>
      <c r="G108" s="2"/>
    </row>
    <row r="110" spans="3:7" x14ac:dyDescent="0.3">
      <c r="C110" s="1" t="s">
        <v>135</v>
      </c>
    </row>
    <row r="111" spans="3:7" x14ac:dyDescent="0.3">
      <c r="D111" s="2">
        <f>F82*366</f>
        <v>29499.599999999999</v>
      </c>
      <c r="E111" s="1" t="s">
        <v>87</v>
      </c>
    </row>
    <row r="112" spans="3:7" x14ac:dyDescent="0.3">
      <c r="C112" s="1" t="s">
        <v>196</v>
      </c>
      <c r="E112" s="1" t="s">
        <v>86</v>
      </c>
    </row>
    <row r="114" spans="3:5" x14ac:dyDescent="0.3">
      <c r="C114" s="1" t="s">
        <v>96</v>
      </c>
    </row>
    <row r="115" spans="3:5" x14ac:dyDescent="0.3">
      <c r="C115" s="1" t="s">
        <v>88</v>
      </c>
      <c r="D115" s="30">
        <f>F82*366*1.3</f>
        <v>38349.479999999996</v>
      </c>
      <c r="E115" s="1" t="s">
        <v>136</v>
      </c>
    </row>
    <row r="117" spans="3:5" x14ac:dyDescent="0.3">
      <c r="C117" s="1" t="s">
        <v>90</v>
      </c>
    </row>
    <row r="119" spans="3:5" x14ac:dyDescent="0.3">
      <c r="C119" s="1" t="s">
        <v>91</v>
      </c>
    </row>
    <row r="120" spans="3:5" x14ac:dyDescent="0.3">
      <c r="C120" s="1" t="s">
        <v>100</v>
      </c>
    </row>
  </sheetData>
  <phoneticPr fontId="0" type="noConversion"/>
  <pageMargins left="0.75" right="0.75" top="1" bottom="1" header="0" footer="0"/>
  <pageSetup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Eleuterio</vt:lpstr>
      <vt:lpstr>Javier</vt:lpstr>
      <vt:lpstr>Eusebio</vt:lpstr>
      <vt:lpstr>Jimena</vt:lpstr>
      <vt:lpstr>Eugenia</vt:lpstr>
      <vt:lpstr>Jesus</vt:lpstr>
      <vt:lpstr>Eleazar</vt:lpstr>
      <vt:lpstr>Elvira</vt:lpstr>
      <vt:lpstr>Juana</vt:lpstr>
      <vt:lpstr>Enrique</vt:lpstr>
      <vt:lpstr>Jorge</vt:lpstr>
      <vt:lpstr>Ana</vt:lpstr>
      <vt:lpstr>Ema </vt:lpstr>
      <vt:lpstr>Rosa </vt:lpstr>
      <vt:lpstr>Elena</vt:lpstr>
      <vt:lpstr>Juan</vt:lpstr>
      <vt:lpstr>Luis</vt:lpstr>
      <vt:lpstr>Filomeno</vt:lpstr>
      <vt:lpstr>Guadalupe</vt:lpstr>
      <vt:lpstr>Natalia</vt:lpstr>
      <vt:lpstr>Ernesto</vt:lpstr>
      <vt:lpstr>Joaquin</vt:lpstr>
      <vt:lpstr>Tab-2018</vt:lpstr>
      <vt:lpstr>Tarifa-ANUAL</vt:lpstr>
      <vt:lpstr>IMSS</vt:lpstr>
      <vt:lpstr>Resumen</vt:lpstr>
    </vt:vector>
  </TitlesOfParts>
  <Company>Dubomex, S.A. de C.V.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Soledad</dc:creator>
  <cp:lastModifiedBy>David Almeida</cp:lastModifiedBy>
  <cp:lastPrinted>2004-02-02T18:25:26Z</cp:lastPrinted>
  <dcterms:created xsi:type="dcterms:W3CDTF">1999-03-06T20:36:08Z</dcterms:created>
  <dcterms:modified xsi:type="dcterms:W3CDTF">2019-02-26T02:36:07Z</dcterms:modified>
</cp:coreProperties>
</file>